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5480" windowHeight="8460" tabRatio="925" firstSheet="3" activeTab="5"/>
  </bookViews>
  <sheets>
    <sheet name="Baseline Input Sheet" sheetId="1" r:id="rId1"/>
    <sheet name="Better Option Input Sheet" sheetId="2" r:id="rId2"/>
    <sheet name="Worse Option Input Sheet" sheetId="7" r:id="rId3"/>
    <sheet name="Baseline Cashflow Chart" sheetId="3" r:id="rId4"/>
    <sheet name="Better Cashflow Chart" sheetId="4" r:id="rId5"/>
    <sheet name="Worse Cashflow Chart" sheetId="9" r:id="rId6"/>
    <sheet name="Baseline Calculation Sheet" sheetId="5" r:id="rId7"/>
    <sheet name="Better Option Calculation Sheet" sheetId="6" r:id="rId8"/>
    <sheet name="Worse Option Calculation S" sheetId="8" r:id="rId9"/>
    <sheet name="Sheet1" sheetId="10" r:id="rId10"/>
  </sheets>
  <definedNames>
    <definedName name="Accumnpv">'Baseline Input Sheet'!$E$24</definedName>
    <definedName name="Baseline_Concessions">'Baseline Input Sheet'!$E$7</definedName>
    <definedName name="Baseline_IRR">'Baseline Calculation Sheet'!$H$17</definedName>
    <definedName name="Baseline_nonrecur">'Baseline Input Sheet'!$D$11</definedName>
    <definedName name="Baseline_nonrecur1">'Baseline Input Sheet'!$D$11</definedName>
    <definedName name="Baseline_nonrecur2">'Baseline Input Sheet'!$D$12</definedName>
    <definedName name="Baseline_nonrecur3">'Baseline Input Sheet'!$D$13</definedName>
    <definedName name="Baseline_nonrecur4">'Baseline Input Sheet'!$D$14</definedName>
    <definedName name="Baseline_nonrecur5">'Baseline Input Sheet'!$D$15</definedName>
    <definedName name="Baseline_nonrecur6">'Baseline Input Sheet'!$D$16</definedName>
    <definedName name="Baseline_Nonrecurring">'Baseline Input Sheet'!$D$10</definedName>
    <definedName name="Baseline_Nonrecurring_Years">'Baseline Input Sheet'!$E$10</definedName>
    <definedName name="Baseline_NPV">'Baseline Calculation Sheet'!$H$15</definedName>
    <definedName name="Baseline_Price">'Baseline Input Sheet'!$D$7</definedName>
    <definedName name="Baseline_Recurring">'Baseline Input Sheet'!$E$11</definedName>
    <definedName name="Baseline_Yrly_Delivery">'Baseline Input Sheet'!$I1</definedName>
    <definedName name="Baseline_Yrly_Production">'Baseline Input Sheet'!$H1</definedName>
    <definedName name="Option_IRR" localSheetId="8">'Worse Option Calculation S'!$H$16</definedName>
    <definedName name="Option_IRR">'Better Option Calculation Sheet'!$H$16</definedName>
    <definedName name="Option_NPV" localSheetId="8">'Worse Option Calculation S'!$H$14</definedName>
    <definedName name="Option_NPV">'Better Option Calculation Sheet'!$H$14</definedName>
    <definedName name="Option_Price" localSheetId="2">'Better Option Input Sheet'!$D$7</definedName>
    <definedName name="Option_Price">'Better Option Input Sheet'!$D$7</definedName>
    <definedName name="Options_Concessions" localSheetId="2">'Worse Option Input Sheet'!$E$7</definedName>
    <definedName name="Options_Concessions">'Better Option Input Sheet'!$E$7</definedName>
    <definedName name="Options_Nonrecurring" localSheetId="8">'Better Option Input Sheet'!#REF!</definedName>
    <definedName name="Options_Nonrecurring" localSheetId="2">'Worse Option Input Sheet'!#REF!</definedName>
    <definedName name="Options_Nonrecurring">'Better Option Input Sheet'!#REF!</definedName>
    <definedName name="Options_Nonrecurring_Years" localSheetId="8">'Better Option Input Sheet'!#REF!</definedName>
    <definedName name="Options_Nonrecurring_Years" localSheetId="2">'Worse Option Input Sheet'!#REF!</definedName>
    <definedName name="Options_Nonrecurring_Years">'Better Option Input Sheet'!#REF!</definedName>
    <definedName name="Options_Price">'Better Option Input Sheet'!$D$7</definedName>
    <definedName name="Options_Recurring" localSheetId="2">'Worse Option Input Sheet'!$E$11</definedName>
    <definedName name="Options_Recurring">'Better Option Input Sheet'!$E$11</definedName>
    <definedName name="_xlnm.Print_Area" localSheetId="6">'Baseline Calculation Sheet'!$A$1:$H$17</definedName>
    <definedName name="_xlnm.Print_Area" localSheetId="7">'Better Option Calculation Sheet'!$A$1:$H$16</definedName>
    <definedName name="_xlnm.Print_Area" localSheetId="8">'Worse Option Calculation S'!$A$1:$H$16</definedName>
    <definedName name="prod1">'Baseline Input Sheet'!$H$7</definedName>
    <definedName name="prod10">'Baseline Input Sheet'!$H$16</definedName>
    <definedName name="prod11">'Baseline Input Sheet'!#REF!</definedName>
    <definedName name="prod12">'Baseline Input Sheet'!#REF!</definedName>
    <definedName name="prod13">'Baseline Input Sheet'!#REF!</definedName>
    <definedName name="prod14">'Baseline Input Sheet'!#REF!</definedName>
    <definedName name="prod15">'Baseline Input Sheet'!#REF!</definedName>
    <definedName name="prod16">'Baseline Input Sheet'!#REF!</definedName>
    <definedName name="prod17">'Baseline Input Sheet'!#REF!</definedName>
    <definedName name="prod18">'Baseline Input Sheet'!#REF!</definedName>
    <definedName name="prod19">'Baseline Input Sheet'!#REF!</definedName>
    <definedName name="prod2">'Baseline Input Sheet'!$H$8</definedName>
    <definedName name="prod20">'Baseline Input Sheet'!#REF!</definedName>
    <definedName name="prod21">'Baseline Input Sheet'!#REF!</definedName>
    <definedName name="prod22">'Baseline Input Sheet'!#REF!</definedName>
    <definedName name="prod23">'Baseline Input Sheet'!#REF!</definedName>
    <definedName name="prod24">'Baseline Input Sheet'!#REF!</definedName>
    <definedName name="prod25">'Baseline Input Sheet'!#REF!</definedName>
    <definedName name="prod26">'Baseline Input Sheet'!#REF!</definedName>
    <definedName name="prod27">'Baseline Input Sheet'!#REF!</definedName>
    <definedName name="prod28">'Baseline Input Sheet'!#REF!</definedName>
    <definedName name="prod29">'Baseline Input Sheet'!#REF!</definedName>
    <definedName name="prod3">'Baseline Input Sheet'!$H$9</definedName>
    <definedName name="prod30">'Baseline Input Sheet'!#REF!</definedName>
    <definedName name="prod4">'Baseline Input Sheet'!$H$10</definedName>
    <definedName name="prod5">'Baseline Input Sheet'!$H$11</definedName>
    <definedName name="prod6">'Baseline Input Sheet'!$H$12</definedName>
    <definedName name="prod7">'Baseline Input Sheet'!$H$13</definedName>
    <definedName name="prod8">'Baseline Input Sheet'!$H$14</definedName>
    <definedName name="prod9">'Baseline Input Sheet'!$H$15</definedName>
    <definedName name="Worse_Option_IRR">'Worse Option Calculation S'!$H$16</definedName>
    <definedName name="Worse_Options_Price">'Worse Option Input Sheet'!$D$7</definedName>
    <definedName name="Yrly_Production" localSheetId="1">'Better Option Input Sheet'!$H1</definedName>
    <definedName name="Yrly_Production" localSheetId="2">'Worse Option Input Sheet'!$H1</definedName>
    <definedName name="Yrly_Production">'Baseline Input Sheet'!$H1</definedName>
  </definedNames>
  <calcPr calcId="124519"/>
</workbook>
</file>

<file path=xl/calcChain.xml><?xml version="1.0" encoding="utf-8"?>
<calcChain xmlns="http://schemas.openxmlformats.org/spreadsheetml/2006/main">
  <c r="E19" i="1"/>
  <c r="D7" i="7"/>
  <c r="D5" i="10"/>
  <c r="C5"/>
  <c r="B5"/>
  <c r="D16" i="7"/>
  <c r="D15"/>
  <c r="D14"/>
  <c r="D13"/>
  <c r="D12"/>
  <c r="D11"/>
  <c r="E29"/>
  <c r="E29" i="2"/>
  <c r="N7" i="1" l="1"/>
  <c r="D11"/>
  <c r="D13" s="1"/>
  <c r="N16"/>
  <c r="E11" s="1"/>
  <c r="D2" i="8"/>
  <c r="D7" i="2"/>
  <c r="H17" i="7"/>
  <c r="H17" i="2"/>
  <c r="H15" i="8"/>
  <c r="G11" s="1"/>
  <c r="H15" i="6"/>
  <c r="H16" i="5"/>
  <c r="G3" s="1"/>
  <c r="D2"/>
  <c r="G4"/>
  <c r="G8"/>
  <c r="D22"/>
  <c r="E22"/>
  <c r="F22"/>
  <c r="G22"/>
  <c r="H22"/>
  <c r="I22"/>
  <c r="J22"/>
  <c r="K22"/>
  <c r="L22"/>
  <c r="M22"/>
  <c r="D3"/>
  <c r="D4"/>
  <c r="M4" s="1"/>
  <c r="D5"/>
  <c r="D6"/>
  <c r="D7"/>
  <c r="D8"/>
  <c r="M8" s="1"/>
  <c r="D9"/>
  <c r="D10"/>
  <c r="D11"/>
  <c r="H17" i="1"/>
  <c r="D2" i="6"/>
  <c r="G2"/>
  <c r="D3"/>
  <c r="G3"/>
  <c r="D4"/>
  <c r="G4"/>
  <c r="D5"/>
  <c r="G5"/>
  <c r="D6"/>
  <c r="G6"/>
  <c r="D7"/>
  <c r="G7"/>
  <c r="D8"/>
  <c r="G8"/>
  <c r="D9"/>
  <c r="G9"/>
  <c r="D10"/>
  <c r="G10"/>
  <c r="D11"/>
  <c r="D12" s="1"/>
  <c r="E20" i="2" s="1"/>
  <c r="G11" i="6"/>
  <c r="D12" i="5"/>
  <c r="E20" i="1" s="1"/>
  <c r="G11" i="5"/>
  <c r="G9"/>
  <c r="M9" s="1"/>
  <c r="G7"/>
  <c r="M7" s="1"/>
  <c r="G5"/>
  <c r="M5" s="1"/>
  <c r="G3" i="8"/>
  <c r="G5"/>
  <c r="G7"/>
  <c r="G9"/>
  <c r="M11" i="5"/>
  <c r="G6" i="8" l="1"/>
  <c r="D11"/>
  <c r="D10"/>
  <c r="D9"/>
  <c r="D8"/>
  <c r="D7"/>
  <c r="D6"/>
  <c r="D5"/>
  <c r="D4"/>
  <c r="G2"/>
  <c r="G10"/>
  <c r="D3"/>
  <c r="E11" i="7"/>
  <c r="E11" i="2"/>
  <c r="E11" i="5"/>
  <c r="F11" s="1"/>
  <c r="E2"/>
  <c r="F2" s="1"/>
  <c r="D23" s="1"/>
  <c r="D24" s="1"/>
  <c r="E9"/>
  <c r="E10"/>
  <c r="F10" s="1"/>
  <c r="L23" s="1"/>
  <c r="L22" i="6" s="1"/>
  <c r="E8" i="5"/>
  <c r="N11"/>
  <c r="D11" i="2"/>
  <c r="D12" i="8"/>
  <c r="E20" i="7" s="1"/>
  <c r="D12" i="1"/>
  <c r="E2" i="6"/>
  <c r="F2" s="1"/>
  <c r="H2" s="1"/>
  <c r="M3" i="5"/>
  <c r="M23"/>
  <c r="H11"/>
  <c r="E3" i="8"/>
  <c r="F3" s="1"/>
  <c r="E3" i="5"/>
  <c r="D12" i="2"/>
  <c r="E9" i="8"/>
  <c r="F9" s="1"/>
  <c r="E11"/>
  <c r="F11" s="1"/>
  <c r="E8"/>
  <c r="F8" s="1"/>
  <c r="E10"/>
  <c r="F10" s="1"/>
  <c r="D22" i="6"/>
  <c r="G10" i="5"/>
  <c r="N10" s="1"/>
  <c r="G6"/>
  <c r="M6" s="1"/>
  <c r="G2"/>
  <c r="G4" i="8"/>
  <c r="G8"/>
  <c r="L22" l="1"/>
  <c r="D22"/>
  <c r="M10" i="5"/>
  <c r="F8"/>
  <c r="N8"/>
  <c r="F9"/>
  <c r="N9"/>
  <c r="E9" i="6"/>
  <c r="F9" s="1"/>
  <c r="E10"/>
  <c r="F10" s="1"/>
  <c r="E8"/>
  <c r="F8" s="1"/>
  <c r="E11"/>
  <c r="F11" s="1"/>
  <c r="D24"/>
  <c r="D25" s="1"/>
  <c r="H2" i="5"/>
  <c r="M2"/>
  <c r="M12" s="1"/>
  <c r="N2"/>
  <c r="E2" i="8"/>
  <c r="H8"/>
  <c r="J24"/>
  <c r="H9"/>
  <c r="K24"/>
  <c r="N3" i="5"/>
  <c r="F3"/>
  <c r="D13" i="2"/>
  <c r="E4" i="6" s="1"/>
  <c r="F4" s="1"/>
  <c r="E4" i="5"/>
  <c r="E4" i="8"/>
  <c r="F4" s="1"/>
  <c r="D14" i="1"/>
  <c r="M22" i="8"/>
  <c r="M22" i="6"/>
  <c r="H10" i="5"/>
  <c r="H10" i="8"/>
  <c r="L24"/>
  <c r="H11"/>
  <c r="M24"/>
  <c r="J2" i="6"/>
  <c r="D26" s="1"/>
  <c r="E3"/>
  <c r="H3" i="8"/>
  <c r="E24"/>
  <c r="M24" i="6" l="1"/>
  <c r="H11"/>
  <c r="L24"/>
  <c r="H10"/>
  <c r="H8"/>
  <c r="J24"/>
  <c r="K24"/>
  <c r="H9"/>
  <c r="K23" i="5"/>
  <c r="H9"/>
  <c r="H8"/>
  <c r="J23"/>
  <c r="F3" i="6"/>
  <c r="F24" i="8"/>
  <c r="H4"/>
  <c r="H4" i="6"/>
  <c r="F24"/>
  <c r="H3" i="5"/>
  <c r="E23"/>
  <c r="J2"/>
  <c r="D25" s="1"/>
  <c r="D15" i="1"/>
  <c r="D14" i="2"/>
  <c r="E5" i="8"/>
  <c r="F5" s="1"/>
  <c r="E5" i="5"/>
  <c r="N4"/>
  <c r="F4"/>
  <c r="F2" i="8"/>
  <c r="K22" i="6" l="1"/>
  <c r="K22" i="8"/>
  <c r="J22" i="6"/>
  <c r="J22" i="8"/>
  <c r="D24"/>
  <c r="D25" s="1"/>
  <c r="E25" s="1"/>
  <c r="F25" s="1"/>
  <c r="H2"/>
  <c r="H5"/>
  <c r="G24"/>
  <c r="D15" i="2"/>
  <c r="E6" i="6" s="1"/>
  <c r="F6" s="1"/>
  <c r="E6" i="8"/>
  <c r="D16" i="1"/>
  <c r="E6" i="5"/>
  <c r="E22" i="6"/>
  <c r="E22" i="8"/>
  <c r="E24" i="5"/>
  <c r="E24" i="6"/>
  <c r="E25" s="1"/>
  <c r="F25" s="1"/>
  <c r="H3"/>
  <c r="J3" i="5"/>
  <c r="E25" s="1"/>
  <c r="F23"/>
  <c r="H4"/>
  <c r="N5"/>
  <c r="F5"/>
  <c r="E5" i="6"/>
  <c r="D23"/>
  <c r="D23" i="8"/>
  <c r="G23" i="5" l="1"/>
  <c r="H5"/>
  <c r="J4"/>
  <c r="F25" s="1"/>
  <c r="N6"/>
  <c r="F6"/>
  <c r="F6" i="8"/>
  <c r="G25"/>
  <c r="F5" i="6"/>
  <c r="F22"/>
  <c r="F22" i="8"/>
  <c r="E23"/>
  <c r="E23" i="6"/>
  <c r="J3"/>
  <c r="D16" i="2"/>
  <c r="E7" i="5"/>
  <c r="E12" s="1"/>
  <c r="H24" i="6"/>
  <c r="H6"/>
  <c r="J2" i="8"/>
  <c r="F24" i="5"/>
  <c r="B24" s="1"/>
  <c r="G24" s="1"/>
  <c r="J5" l="1"/>
  <c r="G25" s="1"/>
  <c r="G23" i="6" s="1"/>
  <c r="E21" i="1"/>
  <c r="E7" i="8"/>
  <c r="E19" i="7"/>
  <c r="G23" i="8"/>
  <c r="E7" i="6"/>
  <c r="E19" i="2"/>
  <c r="D26" i="8"/>
  <c r="J3"/>
  <c r="N7" i="5"/>
  <c r="N12" s="1"/>
  <c r="P12" s="1"/>
  <c r="F7"/>
  <c r="E26" i="6"/>
  <c r="J4"/>
  <c r="F26" s="1"/>
  <c r="G24"/>
  <c r="G25" s="1"/>
  <c r="H25" s="1"/>
  <c r="H5"/>
  <c r="H24" i="8"/>
  <c r="H6"/>
  <c r="H6" i="5"/>
  <c r="H23"/>
  <c r="F12"/>
  <c r="E22" i="1" s="1"/>
  <c r="F23" i="8"/>
  <c r="F23" i="6"/>
  <c r="G22"/>
  <c r="G22" i="8"/>
  <c r="H24" i="5"/>
  <c r="H25" i="8"/>
  <c r="J6" i="5" l="1"/>
  <c r="H25" s="1"/>
  <c r="F7" i="6"/>
  <c r="E12"/>
  <c r="E21" i="2" s="1"/>
  <c r="F7" i="8"/>
  <c r="E12"/>
  <c r="E21" i="7" s="1"/>
  <c r="H22" i="8"/>
  <c r="H22" i="6"/>
  <c r="J5"/>
  <c r="I23" i="5"/>
  <c r="I24" s="1"/>
  <c r="J24" s="1"/>
  <c r="K24" s="1"/>
  <c r="L24" s="1"/>
  <c r="M24" s="1"/>
  <c r="H7"/>
  <c r="H17"/>
  <c r="E25" i="1" s="1"/>
  <c r="C3" i="10" s="1"/>
  <c r="E26" i="8"/>
  <c r="J4"/>
  <c r="I22" i="6" l="1"/>
  <c r="I22" i="8"/>
  <c r="H7"/>
  <c r="I24"/>
  <c r="I25" s="1"/>
  <c r="J25" s="1"/>
  <c r="K25" s="1"/>
  <c r="L25" s="1"/>
  <c r="M25" s="1"/>
  <c r="H16"/>
  <c r="E25" i="7" s="1"/>
  <c r="B3" i="10" s="1"/>
  <c r="F12" i="8"/>
  <c r="E22" i="7" s="1"/>
  <c r="I24" i="6"/>
  <c r="I25" s="1"/>
  <c r="J25" s="1"/>
  <c r="K25" s="1"/>
  <c r="L25" s="1"/>
  <c r="M25" s="1"/>
  <c r="H7"/>
  <c r="H16"/>
  <c r="E25" i="2" s="1"/>
  <c r="D3" i="10" s="1"/>
  <c r="F12" i="6"/>
  <c r="E22" i="2" s="1"/>
  <c r="H23" i="8"/>
  <c r="H23" i="6"/>
  <c r="F26" i="8"/>
  <c r="J5"/>
  <c r="J7" i="5"/>
  <c r="H12"/>
  <c r="G26" i="6"/>
  <c r="J6"/>
  <c r="H26" s="1"/>
  <c r="H15" i="5"/>
  <c r="E24" i="1" s="1"/>
  <c r="C2" i="10" s="1"/>
  <c r="H12" i="8" l="1"/>
  <c r="H14"/>
  <c r="E24" i="7" s="1"/>
  <c r="B2" i="10" s="1"/>
  <c r="J8" i="5"/>
  <c r="I25"/>
  <c r="G26" i="8"/>
  <c r="J6"/>
  <c r="H26" s="1"/>
  <c r="J7" i="6"/>
  <c r="H12"/>
  <c r="H14"/>
  <c r="E24" i="2" s="1"/>
  <c r="D2" i="10" s="1"/>
  <c r="I23" i="8" l="1"/>
  <c r="I23" i="6"/>
  <c r="J7" i="8"/>
  <c r="I26" i="6"/>
  <c r="J8"/>
  <c r="J25" i="5"/>
  <c r="J9"/>
  <c r="K25" l="1"/>
  <c r="J10"/>
  <c r="J26" i="6"/>
  <c r="J9"/>
  <c r="I26" i="8"/>
  <c r="J8"/>
  <c r="J23" i="6"/>
  <c r="J23" i="8"/>
  <c r="J26" l="1"/>
  <c r="J9"/>
  <c r="K23" i="6"/>
  <c r="K23" i="8"/>
  <c r="K26" i="6"/>
  <c r="J10"/>
  <c r="L25" i="5"/>
  <c r="J11"/>
  <c r="M25" s="1"/>
  <c r="M23" i="8" l="1"/>
  <c r="M23" i="6"/>
  <c r="L23" i="8"/>
  <c r="L23" i="6"/>
  <c r="L26"/>
  <c r="J11"/>
  <c r="M26" s="1"/>
  <c r="K26" i="8"/>
  <c r="J10"/>
  <c r="L26" l="1"/>
  <c r="J11"/>
  <c r="M26" s="1"/>
</calcChain>
</file>

<file path=xl/sharedStrings.xml><?xml version="1.0" encoding="utf-8"?>
<sst xmlns="http://schemas.openxmlformats.org/spreadsheetml/2006/main" count="232" uniqueCount="93">
  <si>
    <t xml:space="preserve"> </t>
  </si>
  <si>
    <t>Baseline Business Case Inputs</t>
  </si>
  <si>
    <t>Revenues</t>
  </si>
  <si>
    <t>Schedules</t>
  </si>
  <si>
    <t>Price</t>
  </si>
  <si>
    <t>Price Concessions %</t>
  </si>
  <si>
    <t>Production</t>
  </si>
  <si>
    <t>Delivery</t>
  </si>
  <si>
    <t>Yr1</t>
  </si>
  <si>
    <t>Yr2</t>
  </si>
  <si>
    <t>Investment Costs</t>
  </si>
  <si>
    <t>Recurring Costs</t>
  </si>
  <si>
    <t>Yr3</t>
  </si>
  <si>
    <t>Year</t>
  </si>
  <si>
    <t>Cost Per Year</t>
  </si>
  <si>
    <t>Cost Per Unit</t>
  </si>
  <si>
    <t>Yr4</t>
  </si>
  <si>
    <t>Yr5</t>
  </si>
  <si>
    <t>Yr6</t>
  </si>
  <si>
    <t>Yr7</t>
  </si>
  <si>
    <t>Yr8</t>
  </si>
  <si>
    <t>Yr9</t>
  </si>
  <si>
    <t>Yr10</t>
  </si>
  <si>
    <t>Project Totals</t>
  </si>
  <si>
    <t>Investment</t>
  </si>
  <si>
    <t>Net Cash Program</t>
  </si>
  <si>
    <t>Return on Investment</t>
  </si>
  <si>
    <t>NPV To Shareholders</t>
  </si>
  <si>
    <t>Internal Rate of Return</t>
  </si>
  <si>
    <t>Timing of Cash Receipt or Expenditure</t>
  </si>
  <si>
    <t>Cash-In</t>
  </si>
  <si>
    <t>Cash-Out</t>
  </si>
  <si>
    <t>Net Cash</t>
  </si>
  <si>
    <t>Discount
Factor</t>
  </si>
  <si>
    <t>Discounted
Cash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</si>
  <si>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</si>
  <si>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</si>
  <si>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</si>
  <si>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</si>
  <si>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</si>
  <si>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</si>
  <si>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</si>
  <si>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</si>
  <si>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</si>
  <si>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</si>
  <si>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Totals</t>
  </si>
  <si>
    <t>Net Present Value (NPV)</t>
  </si>
  <si>
    <t>Discounting Rate</t>
  </si>
  <si>
    <t>Internal Rate of Return (IRR)</t>
  </si>
  <si>
    <t>Values for Baseline Cashflow Chart</t>
  </si>
  <si>
    <t>Yrly Net-Cash</t>
  </si>
  <si>
    <t>Cum-Cashflows</t>
  </si>
  <si>
    <t>Baseline NPV</t>
  </si>
  <si>
    <t>Values for Comparison Cashflow Chart</t>
  </si>
  <si>
    <t>Baseline Yrly Net-Cash</t>
  </si>
  <si>
    <t>Option Yrly Net-Cash</t>
  </si>
  <si>
    <t>Option NPV</t>
  </si>
  <si>
    <t>Better Option than Baseline Business Case Study Inputs</t>
  </si>
  <si>
    <t>Option Cum Net-Cash</t>
  </si>
  <si>
    <t>Cost-of-Capital</t>
  </si>
  <si>
    <t>Baseline Cum-Cashflows</t>
  </si>
  <si>
    <t>Cash-In PV</t>
  </si>
  <si>
    <t>Cash-Out PV</t>
  </si>
  <si>
    <t>ROI</t>
  </si>
  <si>
    <t>Cash-In (Income)</t>
  </si>
  <si>
    <t>Cash-Out (Expense)</t>
  </si>
  <si>
    <t>Worse Option than Baseline Business Case Study Inputs</t>
  </si>
  <si>
    <t>Video Display</t>
  </si>
  <si>
    <t>UCATS Display</t>
  </si>
  <si>
    <t>Computer (processor)</t>
  </si>
  <si>
    <t>Cost of Software Development</t>
  </si>
  <si>
    <t>Hardware:</t>
  </si>
  <si>
    <t xml:space="preserve">    Encryption Module</t>
  </si>
  <si>
    <t xml:space="preserve">     Radio (cost of a radio for UAVs without encryption gear capability)</t>
  </si>
  <si>
    <t>Operation, maintenance, distribution cost</t>
  </si>
  <si>
    <t>Supply Support Cost</t>
  </si>
  <si>
    <t>Retirement and Disposal Cost</t>
  </si>
  <si>
    <t>Google Earth License</t>
  </si>
  <si>
    <t xml:space="preserve">     UAV antenna</t>
  </si>
  <si>
    <t xml:space="preserve">System Development Detailed Production, Planning and Design Cost </t>
  </si>
  <si>
    <t>System Development Detailed Planning and Design Cost</t>
  </si>
  <si>
    <t xml:space="preserve">System Development Detailed Planning and Design Cost </t>
  </si>
  <si>
    <t>Spare Equipment</t>
  </si>
  <si>
    <t xml:space="preserve">     Shelter</t>
  </si>
  <si>
    <t>Worse</t>
  </si>
  <si>
    <t>Baseline</t>
  </si>
  <si>
    <t>Better</t>
  </si>
  <si>
    <t>NPV</t>
  </si>
  <si>
    <t>IRR</t>
  </si>
  <si>
    <t>Breakeven point</t>
  </si>
  <si>
    <t>7 yrs</t>
  </si>
  <si>
    <t>5.2 yrs</t>
  </si>
  <si>
    <t>8.6 yrs</t>
  </si>
</sst>
</file>

<file path=xl/styles.xml><?xml version="1.0" encoding="utf-8"?>
<styleSheet xmlns="http://schemas.openxmlformats.org/spreadsheetml/2006/main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_);\(#,##0.000\)"/>
    <numFmt numFmtId="165" formatCode="_(* #,##0_);_(* \(#,##0\);_(* &quot;-&quot;??_);_(@_)"/>
    <numFmt numFmtId="166" formatCode="_(&quot;$&quot;* #,##0_);_(&quot;$&quot;* \(#,##0\);_(&quot;$&quot;* &quot;-&quot;??_);_(@_)"/>
    <numFmt numFmtId="167" formatCode="&quot;$&quot;#,##0;[Red]&quot;$&quot;#,##0"/>
    <numFmt numFmtId="168" formatCode="&quot;$&quot;#,##0"/>
  </numFmts>
  <fonts count="14">
    <font>
      <sz val="10"/>
      <name val="Times New Roman"/>
    </font>
    <font>
      <sz val="10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2"/>
      <color indexed="9"/>
      <name val="Times New Roman"/>
      <family val="1"/>
    </font>
    <font>
      <sz val="12"/>
      <color indexed="9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b/>
      <sz val="10"/>
      <name val="Times New Roman"/>
      <family val="1"/>
    </font>
    <font>
      <b/>
      <sz val="20"/>
      <name val="Times New Roman"/>
      <family val="1"/>
    </font>
    <font>
      <sz val="11"/>
      <name val="Times New Roman"/>
      <family val="1"/>
    </font>
    <font>
      <sz val="11"/>
      <name val="Calibri"/>
      <family val="2"/>
    </font>
    <font>
      <sz val="18"/>
      <name val="Times New Roman"/>
      <family val="1"/>
    </font>
    <font>
      <b/>
      <sz val="1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5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/>
    <xf numFmtId="6" fontId="2" fillId="0" borderId="1" xfId="2" applyNumberFormat="1" applyFont="1" applyBorder="1"/>
    <xf numFmtId="164" fontId="2" fillId="0" borderId="1" xfId="0" applyNumberFormat="1" applyFont="1" applyBorder="1" applyProtection="1"/>
    <xf numFmtId="0" fontId="2" fillId="0" borderId="2" xfId="0" applyFont="1" applyBorder="1"/>
    <xf numFmtId="0" fontId="2" fillId="0" borderId="0" xfId="0" applyFont="1" applyBorder="1"/>
    <xf numFmtId="0" fontId="2" fillId="0" borderId="0" xfId="0" applyFont="1"/>
    <xf numFmtId="9" fontId="0" fillId="0" borderId="0" xfId="0" applyNumberFormat="1"/>
    <xf numFmtId="0" fontId="2" fillId="0" borderId="0" xfId="0" applyFont="1" applyBorder="1" applyAlignment="1">
      <alignment horizontal="right"/>
    </xf>
    <xf numFmtId="6" fontId="2" fillId="0" borderId="0" xfId="0" applyNumberFormat="1" applyFont="1" applyBorder="1"/>
    <xf numFmtId="0" fontId="2" fillId="0" borderId="3" xfId="0" applyFont="1" applyBorder="1"/>
    <xf numFmtId="0" fontId="0" fillId="0" borderId="4" xfId="0" applyBorder="1"/>
    <xf numFmtId="9" fontId="2" fillId="0" borderId="5" xfId="0" applyNumberFormat="1" applyFont="1" applyBorder="1"/>
    <xf numFmtId="0" fontId="2" fillId="0" borderId="6" xfId="0" applyFont="1" applyBorder="1"/>
    <xf numFmtId="0" fontId="2" fillId="0" borderId="7" xfId="0" quotePrefix="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9" fontId="2" fillId="0" borderId="8" xfId="3" applyFont="1" applyBorder="1"/>
    <xf numFmtId="6" fontId="2" fillId="0" borderId="9" xfId="0" applyNumberFormat="1" applyFont="1" applyBorder="1"/>
    <xf numFmtId="0" fontId="4" fillId="2" borderId="10" xfId="0" applyFont="1" applyFill="1" applyBorder="1"/>
    <xf numFmtId="0" fontId="4" fillId="2" borderId="11" xfId="0" applyFont="1" applyFill="1" applyBorder="1"/>
    <xf numFmtId="9" fontId="2" fillId="0" borderId="5" xfId="3" applyFont="1" applyBorder="1"/>
    <xf numFmtId="6" fontId="2" fillId="3" borderId="0" xfId="2" applyNumberFormat="1" applyFont="1" applyFill="1" applyBorder="1"/>
    <xf numFmtId="9" fontId="2" fillId="3" borderId="0" xfId="3" applyFont="1" applyFill="1" applyBorder="1"/>
    <xf numFmtId="0" fontId="3" fillId="3" borderId="10" xfId="0" applyFont="1" applyFill="1" applyBorder="1"/>
    <xf numFmtId="0" fontId="0" fillId="3" borderId="12" xfId="0" applyFill="1" applyBorder="1"/>
    <xf numFmtId="0" fontId="0" fillId="3" borderId="11" xfId="0" applyFill="1" applyBorder="1"/>
    <xf numFmtId="0" fontId="3" fillId="3" borderId="13" xfId="0" applyFont="1" applyFill="1" applyBorder="1"/>
    <xf numFmtId="0" fontId="2" fillId="3" borderId="0" xfId="0" applyFont="1" applyFill="1" applyBorder="1"/>
    <xf numFmtId="0" fontId="0" fillId="3" borderId="14" xfId="0" applyFill="1" applyBorder="1"/>
    <xf numFmtId="165" fontId="2" fillId="0" borderId="2" xfId="1" applyNumberFormat="1" applyFont="1" applyBorder="1"/>
    <xf numFmtId="165" fontId="2" fillId="0" borderId="15" xfId="1" applyNumberFormat="1" applyFont="1" applyBorder="1"/>
    <xf numFmtId="165" fontId="0" fillId="0" borderId="0" xfId="1" applyNumberFormat="1" applyFont="1"/>
    <xf numFmtId="165" fontId="2" fillId="0" borderId="2" xfId="1" quotePrefix="1" applyNumberFormat="1" applyFont="1" applyBorder="1" applyAlignment="1">
      <alignment horizontal="left"/>
    </xf>
    <xf numFmtId="165" fontId="2" fillId="0" borderId="0" xfId="1" applyNumberFormat="1" applyFont="1" applyBorder="1"/>
    <xf numFmtId="165" fontId="2" fillId="0" borderId="0" xfId="1" quotePrefix="1" applyNumberFormat="1" applyFont="1" applyBorder="1" applyAlignment="1">
      <alignment horizontal="right"/>
    </xf>
    <xf numFmtId="0" fontId="0" fillId="3" borderId="0" xfId="0" applyFill="1" applyBorder="1"/>
    <xf numFmtId="0" fontId="2" fillId="0" borderId="13" xfId="0" applyFont="1" applyBorder="1" applyAlignment="1">
      <alignment horizontal="right" wrapText="1"/>
    </xf>
    <xf numFmtId="6" fontId="2" fillId="0" borderId="14" xfId="0" applyNumberFormat="1" applyFont="1" applyBorder="1" applyAlignment="1">
      <alignment horizontal="right" wrapText="1"/>
    </xf>
    <xf numFmtId="6" fontId="7" fillId="0" borderId="14" xfId="0" applyNumberFormat="1" applyFont="1" applyBorder="1" applyAlignment="1">
      <alignment horizontal="right" wrapText="1"/>
    </xf>
    <xf numFmtId="6" fontId="6" fillId="0" borderId="16" xfId="0" applyNumberFormat="1" applyFont="1" applyBorder="1" applyAlignment="1">
      <alignment horizontal="right" wrapText="1"/>
    </xf>
    <xf numFmtId="6" fontId="2" fillId="0" borderId="17" xfId="2" applyNumberFormat="1" applyFont="1" applyBorder="1"/>
    <xf numFmtId="0" fontId="2" fillId="0" borderId="18" xfId="0" applyFont="1" applyBorder="1"/>
    <xf numFmtId="165" fontId="6" fillId="0" borderId="19" xfId="1" applyNumberFormat="1" applyFont="1" applyBorder="1" applyAlignment="1">
      <alignment horizontal="right"/>
    </xf>
    <xf numFmtId="6" fontId="6" fillId="0" borderId="19" xfId="0" applyNumberFormat="1" applyFont="1" applyBorder="1"/>
    <xf numFmtId="6" fontId="6" fillId="0" borderId="20" xfId="0" applyNumberFormat="1" applyFont="1" applyBorder="1"/>
    <xf numFmtId="6" fontId="6" fillId="0" borderId="21" xfId="0" applyNumberFormat="1" applyFont="1" applyBorder="1"/>
    <xf numFmtId="0" fontId="2" fillId="0" borderId="22" xfId="0" applyFont="1" applyBorder="1" applyAlignment="1">
      <alignment horizontal="right"/>
    </xf>
    <xf numFmtId="0" fontId="3" fillId="3" borderId="12" xfId="0" applyFont="1" applyFill="1" applyBorder="1"/>
    <xf numFmtId="0" fontId="3" fillId="3" borderId="0" xfId="0" applyFont="1" applyFill="1" applyBorder="1"/>
    <xf numFmtId="6" fontId="2" fillId="0" borderId="23" xfId="2" applyNumberFormat="1" applyFont="1" applyBorder="1"/>
    <xf numFmtId="0" fontId="4" fillId="2" borderId="11" xfId="0" applyFont="1" applyFill="1" applyBorder="1" applyAlignment="1">
      <alignment horizontal="center"/>
    </xf>
    <xf numFmtId="0" fontId="6" fillId="0" borderId="16" xfId="0" applyFont="1" applyBorder="1" applyAlignment="1">
      <alignment horizontal="center" wrapText="1"/>
    </xf>
    <xf numFmtId="0" fontId="4" fillId="2" borderId="24" xfId="0" applyFont="1" applyFill="1" applyBorder="1"/>
    <xf numFmtId="0" fontId="5" fillId="2" borderId="10" xfId="0" applyFont="1" applyFill="1" applyBorder="1"/>
    <xf numFmtId="6" fontId="2" fillId="0" borderId="25" xfId="2" applyNumberFormat="1" applyFont="1" applyBorder="1"/>
    <xf numFmtId="6" fontId="6" fillId="0" borderId="5" xfId="0" applyNumberFormat="1" applyFont="1" applyBorder="1" applyAlignment="1">
      <alignment horizontal="right" wrapText="1"/>
    </xf>
    <xf numFmtId="0" fontId="6" fillId="0" borderId="4" xfId="0" applyFont="1" applyBorder="1" applyAlignment="1">
      <alignment horizontal="right" wrapText="1"/>
    </xf>
    <xf numFmtId="0" fontId="6" fillId="0" borderId="26" xfId="0" applyFont="1" applyBorder="1" applyAlignment="1">
      <alignment horizontal="right" wrapText="1"/>
    </xf>
    <xf numFmtId="0" fontId="0" fillId="0" borderId="12" xfId="0" applyBorder="1"/>
    <xf numFmtId="0" fontId="6" fillId="0" borderId="27" xfId="0" applyFont="1" applyBorder="1" applyAlignment="1">
      <alignment horizontal="center"/>
    </xf>
    <xf numFmtId="0" fontId="6" fillId="0" borderId="17" xfId="0" applyFont="1" applyBorder="1" applyAlignment="1">
      <alignment horizontal="center" wrapText="1"/>
    </xf>
    <xf numFmtId="0" fontId="9" fillId="0" borderId="18" xfId="0" applyFont="1" applyBorder="1" applyAlignment="1">
      <alignment horizontal="centerContinuous" vertical="center"/>
    </xf>
    <xf numFmtId="0" fontId="9" fillId="0" borderId="28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165" fontId="1" fillId="0" borderId="0" xfId="1" applyNumberFormat="1"/>
    <xf numFmtId="165" fontId="1" fillId="0" borderId="0" xfId="1" applyNumberFormat="1" applyBorder="1"/>
    <xf numFmtId="165" fontId="1" fillId="0" borderId="0" xfId="1" applyNumberFormat="1" applyFont="1" applyBorder="1" applyAlignment="1">
      <alignment horizontal="right"/>
    </xf>
    <xf numFmtId="0" fontId="0" fillId="0" borderId="10" xfId="0" applyBorder="1"/>
    <xf numFmtId="165" fontId="8" fillId="0" borderId="12" xfId="1" applyNumberFormat="1" applyFont="1" applyBorder="1"/>
    <xf numFmtId="0" fontId="0" fillId="0" borderId="13" xfId="0" applyBorder="1"/>
    <xf numFmtId="165" fontId="1" fillId="0" borderId="7" xfId="1" applyNumberFormat="1" applyFont="1" applyBorder="1" applyAlignment="1">
      <alignment horizontal="right"/>
    </xf>
    <xf numFmtId="0" fontId="6" fillId="0" borderId="30" xfId="0" applyFont="1" applyBorder="1" applyAlignment="1">
      <alignment horizontal="centerContinuous" vertical="center" wrapText="1"/>
    </xf>
    <xf numFmtId="165" fontId="6" fillId="0" borderId="31" xfId="1" applyNumberFormat="1" applyFont="1" applyBorder="1" applyAlignment="1">
      <alignment horizontal="centerContinuous" vertical="center" wrapText="1"/>
    </xf>
    <xf numFmtId="0" fontId="6" fillId="0" borderId="32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33" xfId="0" quotePrefix="1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Continuous"/>
    </xf>
    <xf numFmtId="0" fontId="4" fillId="2" borderId="9" xfId="0" applyFont="1" applyFill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34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4" xfId="0" quotePrefix="1" applyFont="1" applyBorder="1" applyAlignment="1">
      <alignment horizontal="right"/>
    </xf>
    <xf numFmtId="0" fontId="6" fillId="0" borderId="1" xfId="0" applyFont="1" applyBorder="1" applyAlignment="1">
      <alignment horizontal="center" wrapText="1"/>
    </xf>
    <xf numFmtId="0" fontId="6" fillId="0" borderId="35" xfId="0" applyFont="1" applyBorder="1" applyAlignment="1">
      <alignment horizontal="center" wrapText="1"/>
    </xf>
    <xf numFmtId="6" fontId="2" fillId="0" borderId="14" xfId="2" applyNumberFormat="1" applyFont="1" applyBorder="1"/>
    <xf numFmtId="165" fontId="2" fillId="0" borderId="35" xfId="1" applyNumberFormat="1" applyFont="1" applyBorder="1"/>
    <xf numFmtId="165" fontId="2" fillId="0" borderId="36" xfId="1" applyNumberFormat="1" applyFont="1" applyBorder="1"/>
    <xf numFmtId="165" fontId="2" fillId="0" borderId="37" xfId="1" applyNumberFormat="1" applyFont="1" applyBorder="1"/>
    <xf numFmtId="6" fontId="2" fillId="0" borderId="38" xfId="2" applyNumberFormat="1" applyFont="1" applyBorder="1"/>
    <xf numFmtId="0" fontId="4" fillId="2" borderId="1" xfId="0" applyFont="1" applyFill="1" applyBorder="1"/>
    <xf numFmtId="0" fontId="6" fillId="0" borderId="1" xfId="0" applyFont="1" applyBorder="1" applyAlignment="1">
      <alignment horizontal="center"/>
    </xf>
    <xf numFmtId="9" fontId="2" fillId="0" borderId="1" xfId="3" applyFont="1" applyBorder="1"/>
    <xf numFmtId="0" fontId="4" fillId="2" borderId="1" xfId="0" applyFont="1" applyFill="1" applyBorder="1" applyAlignment="1">
      <alignment horizontal="centerContinuous"/>
    </xf>
    <xf numFmtId="165" fontId="2" fillId="0" borderId="1" xfId="1" applyNumberFormat="1" applyFont="1" applyBorder="1"/>
    <xf numFmtId="0" fontId="4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right" wrapText="1"/>
    </xf>
    <xf numFmtId="6" fontId="2" fillId="0" borderId="1" xfId="0" applyNumberFormat="1" applyFont="1" applyBorder="1" applyAlignment="1">
      <alignment horizontal="right" wrapText="1"/>
    </xf>
    <xf numFmtId="6" fontId="7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6" fontId="6" fillId="0" borderId="1" xfId="0" applyNumberFormat="1" applyFont="1" applyBorder="1" applyAlignment="1">
      <alignment horizontal="right" wrapText="1"/>
    </xf>
    <xf numFmtId="9" fontId="6" fillId="0" borderId="1" xfId="3" applyFont="1" applyBorder="1" applyAlignment="1">
      <alignment horizontal="right" wrapText="1"/>
    </xf>
    <xf numFmtId="0" fontId="2" fillId="0" borderId="1" xfId="0" applyFont="1" applyFill="1" applyBorder="1"/>
    <xf numFmtId="0" fontId="6" fillId="0" borderId="31" xfId="0" applyFont="1" applyBorder="1" applyAlignment="1">
      <alignment horizontal="center" vertical="center"/>
    </xf>
    <xf numFmtId="165" fontId="2" fillId="0" borderId="0" xfId="1" quotePrefix="1" applyNumberFormat="1" applyFont="1" applyBorder="1" applyAlignment="1">
      <alignment horizontal="left"/>
    </xf>
    <xf numFmtId="165" fontId="6" fillId="0" borderId="39" xfId="1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  <xf numFmtId="6" fontId="2" fillId="0" borderId="0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6" fontId="0" fillId="0" borderId="0" xfId="0" applyNumberFormat="1"/>
    <xf numFmtId="0" fontId="0" fillId="0" borderId="13" xfId="0" applyBorder="1" applyAlignment="1">
      <alignment horizontal="center"/>
    </xf>
    <xf numFmtId="165" fontId="1" fillId="0" borderId="0" xfId="1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6" fontId="0" fillId="0" borderId="1" xfId="0" applyNumberFormat="1" applyBorder="1"/>
    <xf numFmtId="0" fontId="6" fillId="0" borderId="1" xfId="0" applyFont="1" applyBorder="1" applyAlignment="1">
      <alignment horizontal="right"/>
    </xf>
    <xf numFmtId="9" fontId="6" fillId="0" borderId="1" xfId="0" applyNumberFormat="1" applyFont="1" applyBorder="1"/>
    <xf numFmtId="0" fontId="0" fillId="3" borderId="13" xfId="0" applyFill="1" applyBorder="1"/>
    <xf numFmtId="0" fontId="0" fillId="3" borderId="4" xfId="0" applyFill="1" applyBorder="1"/>
    <xf numFmtId="0" fontId="0" fillId="3" borderId="7" xfId="0" applyFill="1" applyBorder="1"/>
    <xf numFmtId="0" fontId="0" fillId="3" borderId="5" xfId="0" applyFill="1" applyBorder="1"/>
    <xf numFmtId="0" fontId="1" fillId="0" borderId="0" xfId="0" applyFont="1"/>
    <xf numFmtId="0" fontId="2" fillId="0" borderId="10" xfId="0" applyFont="1" applyBorder="1"/>
    <xf numFmtId="0" fontId="2" fillId="0" borderId="12" xfId="0" applyFont="1" applyBorder="1"/>
    <xf numFmtId="165" fontId="6" fillId="0" borderId="12" xfId="1" applyNumberFormat="1" applyFont="1" applyBorder="1"/>
    <xf numFmtId="0" fontId="2" fillId="0" borderId="11" xfId="0" applyFont="1" applyBorder="1"/>
    <xf numFmtId="0" fontId="2" fillId="0" borderId="13" xfId="0" applyFont="1" applyBorder="1"/>
    <xf numFmtId="0" fontId="2" fillId="0" borderId="14" xfId="0" applyFont="1" applyBorder="1"/>
    <xf numFmtId="165" fontId="2" fillId="0" borderId="0" xfId="1" applyNumberFormat="1" applyFont="1" applyBorder="1" applyAlignment="1">
      <alignment horizontal="right"/>
    </xf>
    <xf numFmtId="6" fontId="2" fillId="0" borderId="14" xfId="0" applyNumberFormat="1" applyFont="1" applyBorder="1"/>
    <xf numFmtId="0" fontId="2" fillId="0" borderId="4" xfId="0" applyFont="1" applyBorder="1"/>
    <xf numFmtId="0" fontId="2" fillId="0" borderId="7" xfId="0" applyFont="1" applyBorder="1"/>
    <xf numFmtId="165" fontId="2" fillId="0" borderId="7" xfId="1" applyNumberFormat="1" applyFont="1" applyBorder="1" applyAlignment="1">
      <alignment horizontal="right"/>
    </xf>
    <xf numFmtId="6" fontId="2" fillId="0" borderId="0" xfId="0" applyNumberFormat="1" applyFont="1"/>
    <xf numFmtId="6" fontId="2" fillId="0" borderId="5" xfId="0" applyNumberFormat="1" applyFont="1" applyBorder="1"/>
    <xf numFmtId="2" fontId="10" fillId="0" borderId="0" xfId="0" applyNumberFormat="1" applyFont="1"/>
    <xf numFmtId="6" fontId="0" fillId="0" borderId="0" xfId="0" applyNumberFormat="1" applyBorder="1"/>
    <xf numFmtId="166" fontId="0" fillId="0" borderId="0" xfId="2" applyNumberFormat="1" applyFont="1" applyBorder="1"/>
    <xf numFmtId="0" fontId="0" fillId="0" borderId="0" xfId="0" applyBorder="1"/>
    <xf numFmtId="0" fontId="8" fillId="0" borderId="0" xfId="0" applyFont="1"/>
    <xf numFmtId="3" fontId="0" fillId="0" borderId="0" xfId="0" applyNumberFormat="1"/>
    <xf numFmtId="0" fontId="11" fillId="0" borderId="0" xfId="0" applyFont="1"/>
    <xf numFmtId="167" fontId="6" fillId="0" borderId="1" xfId="0" applyNumberFormat="1" applyFont="1" applyBorder="1"/>
    <xf numFmtId="6" fontId="2" fillId="0" borderId="40" xfId="2" applyNumberFormat="1" applyFont="1" applyBorder="1"/>
    <xf numFmtId="168" fontId="6" fillId="4" borderId="1" xfId="0" applyNumberFormat="1" applyFont="1" applyFill="1" applyBorder="1"/>
    <xf numFmtId="3" fontId="2" fillId="0" borderId="0" xfId="0" applyNumberFormat="1" applyFont="1"/>
    <xf numFmtId="168" fontId="2" fillId="0" borderId="0" xfId="0" applyNumberFormat="1" applyFont="1"/>
    <xf numFmtId="0" fontId="12" fillId="0" borderId="18" xfId="0" applyFont="1" applyBorder="1"/>
    <xf numFmtId="0" fontId="13" fillId="0" borderId="18" xfId="0" applyFont="1" applyBorder="1" applyAlignment="1">
      <alignment horizontal="centerContinuous" vertical="center"/>
    </xf>
    <xf numFmtId="0" fontId="13" fillId="0" borderId="28" xfId="0" applyFont="1" applyBorder="1" applyAlignment="1">
      <alignment horizontal="centerContinuous" vertical="center"/>
    </xf>
    <xf numFmtId="0" fontId="13" fillId="0" borderId="29" xfId="0" applyFont="1" applyBorder="1" applyAlignment="1">
      <alignment horizontal="centerContinuous" vertical="center"/>
    </xf>
    <xf numFmtId="0" fontId="12" fillId="0" borderId="29" xfId="0" applyFont="1" applyBorder="1"/>
    <xf numFmtId="0" fontId="6" fillId="0" borderId="1" xfId="0" applyFont="1" applyBorder="1" applyAlignment="1">
      <alignment horizontal="left" wrapText="1"/>
    </xf>
    <xf numFmtId="0" fontId="0" fillId="5" borderId="1" xfId="0" applyFill="1" applyBorder="1"/>
    <xf numFmtId="0" fontId="0" fillId="5" borderId="1" xfId="0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0" fillId="5" borderId="1" xfId="0" applyFill="1" applyBorder="1" applyAlignment="1">
      <alignment horizontal="center"/>
    </xf>
    <xf numFmtId="6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165" fontId="1" fillId="0" borderId="0" xfId="1" applyNumberFormat="1" applyAlignment="1">
      <alignment horizontal="right"/>
    </xf>
    <xf numFmtId="0" fontId="0" fillId="0" borderId="0" xfId="0" applyAlignment="1">
      <alignment horizontal="righ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theme" Target="theme/theme1.xml"/><Relationship Id="rId5" Type="http://schemas.openxmlformats.org/officeDocument/2006/relationships/chartsheet" Target="chartsheets/sheet2.xml"/><Relationship Id="rId10" Type="http://schemas.openxmlformats.org/officeDocument/2006/relationships/worksheet" Target="worksheets/sheet7.xml"/><Relationship Id="rId4" Type="http://schemas.openxmlformats.org/officeDocument/2006/relationships/chartsheet" Target="chartsheets/sheet1.xml"/><Relationship Id="rId9" Type="http://schemas.openxmlformats.org/officeDocument/2006/relationships/worksheet" Target="worksheets/sheet6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800"/>
              <a:t>Baseline Cashflow Chart</a:t>
            </a:r>
          </a:p>
        </c:rich>
      </c:tx>
      <c:layout>
        <c:manualLayout>
          <c:xMode val="edge"/>
          <c:yMode val="edge"/>
          <c:x val="0.41131012104499642"/>
          <c:y val="0.2022838768190625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plotArea>
      <c:layout>
        <c:manualLayout>
          <c:layoutTarget val="inner"/>
          <c:xMode val="edge"/>
          <c:yMode val="edge"/>
          <c:x val="0.10151034918103591"/>
          <c:y val="3.4208682029929507E-2"/>
          <c:w val="0.88303477344573233"/>
          <c:h val="0.90375203915171287"/>
        </c:manualLayout>
      </c:layout>
      <c:barChart>
        <c:barDir val="col"/>
        <c:grouping val="clustered"/>
        <c:ser>
          <c:idx val="3"/>
          <c:order val="0"/>
          <c:tx>
            <c:strRef>
              <c:f>'Baseline Calculation Sheet'!$C$23</c:f>
              <c:strCache>
                <c:ptCount val="1"/>
                <c:pt idx="0">
                  <c:v>Yrly Net-Cash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'Baseline Calculation Sheet'!$D$22:$M$22</c:f>
              <c:strCache>
                <c:ptCount val="10"/>
                <c:pt idx="0">
                  <c:v>Yr 0</c:v>
                </c:pt>
                <c:pt idx="1">
                  <c:v>Yr 1</c:v>
                </c:pt>
                <c:pt idx="2">
                  <c:v>Yr 2</c:v>
                </c:pt>
                <c:pt idx="3">
                  <c:v>Yr 3</c:v>
                </c:pt>
                <c:pt idx="4">
                  <c:v>Yr 4</c:v>
                </c:pt>
                <c:pt idx="5">
                  <c:v>Yr 5</c:v>
                </c:pt>
                <c:pt idx="6">
                  <c:v>Yr 6</c:v>
                </c:pt>
                <c:pt idx="7">
                  <c:v>Yr 7</c:v>
                </c:pt>
                <c:pt idx="8">
                  <c:v>Yr 8</c:v>
                </c:pt>
                <c:pt idx="9">
                  <c:v>Yr 9</c:v>
                </c:pt>
              </c:strCache>
            </c:strRef>
          </c:cat>
          <c:val>
            <c:numRef>
              <c:f>'Baseline Calculation Sheet'!$D$23:$M$23</c:f>
              <c:numCache>
                <c:formatCode>"$"#,##0_);[Red]\("$"#,##0\)</c:formatCode>
                <c:ptCount val="10"/>
                <c:pt idx="0">
                  <c:v>-14403384.600000001</c:v>
                </c:pt>
                <c:pt idx="1">
                  <c:v>-2002576.9200000004</c:v>
                </c:pt>
                <c:pt idx="2">
                  <c:v>315861.54000000004</c:v>
                </c:pt>
                <c:pt idx="3">
                  <c:v>2072061.54</c:v>
                </c:pt>
                <c:pt idx="4">
                  <c:v>3828261.54</c:v>
                </c:pt>
                <c:pt idx="5">
                  <c:v>5584461.54</c:v>
                </c:pt>
                <c:pt idx="6">
                  <c:v>8781000</c:v>
                </c:pt>
                <c:pt idx="7">
                  <c:v>13171500</c:v>
                </c:pt>
                <c:pt idx="8">
                  <c:v>17562000</c:v>
                </c:pt>
                <c:pt idx="9">
                  <c:v>21952500</c:v>
                </c:pt>
              </c:numCache>
            </c:numRef>
          </c:val>
        </c:ser>
        <c:axId val="104657280"/>
        <c:axId val="104658816"/>
      </c:barChart>
      <c:lineChart>
        <c:grouping val="standard"/>
        <c:ser>
          <c:idx val="0"/>
          <c:order val="1"/>
          <c:tx>
            <c:strRef>
              <c:f>'Baseline Calculation Sheet'!$C$24</c:f>
              <c:strCache>
                <c:ptCount val="1"/>
                <c:pt idx="0">
                  <c:v>Cum-Cashflows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'Baseline Calculation Sheet'!$D$22:$M$22</c:f>
              <c:strCache>
                <c:ptCount val="10"/>
                <c:pt idx="0">
                  <c:v>Yr 0</c:v>
                </c:pt>
                <c:pt idx="1">
                  <c:v>Yr 1</c:v>
                </c:pt>
                <c:pt idx="2">
                  <c:v>Yr 2</c:v>
                </c:pt>
                <c:pt idx="3">
                  <c:v>Yr 3</c:v>
                </c:pt>
                <c:pt idx="4">
                  <c:v>Yr 4</c:v>
                </c:pt>
                <c:pt idx="5">
                  <c:v>Yr 5</c:v>
                </c:pt>
                <c:pt idx="6">
                  <c:v>Yr 6</c:v>
                </c:pt>
                <c:pt idx="7">
                  <c:v>Yr 7</c:v>
                </c:pt>
                <c:pt idx="8">
                  <c:v>Yr 8</c:v>
                </c:pt>
                <c:pt idx="9">
                  <c:v>Yr 9</c:v>
                </c:pt>
              </c:strCache>
            </c:strRef>
          </c:cat>
          <c:val>
            <c:numRef>
              <c:f>'Baseline Calculation Sheet'!$D$24:$M$24</c:f>
              <c:numCache>
                <c:formatCode>"$"#,##0_);[Red]\("$"#,##0\)</c:formatCode>
                <c:ptCount val="10"/>
                <c:pt idx="0">
                  <c:v>-14403384.600000001</c:v>
                </c:pt>
                <c:pt idx="1">
                  <c:v>-16405961.520000001</c:v>
                </c:pt>
                <c:pt idx="2">
                  <c:v>-16090099.98</c:v>
                </c:pt>
                <c:pt idx="3">
                  <c:v>-14018038.440000001</c:v>
                </c:pt>
                <c:pt idx="4">
                  <c:v>-10189776.900000002</c:v>
                </c:pt>
                <c:pt idx="5">
                  <c:v>-4605315.3600000022</c:v>
                </c:pt>
                <c:pt idx="6">
                  <c:v>4175684.6399999978</c:v>
                </c:pt>
                <c:pt idx="7">
                  <c:v>17347184.639999997</c:v>
                </c:pt>
                <c:pt idx="8">
                  <c:v>34909184.640000001</c:v>
                </c:pt>
                <c:pt idx="9">
                  <c:v>56861684.640000001</c:v>
                </c:pt>
              </c:numCache>
            </c:numRef>
          </c:val>
        </c:ser>
        <c:marker val="1"/>
        <c:axId val="104657280"/>
        <c:axId val="104658816"/>
      </c:lineChart>
      <c:lineChart>
        <c:grouping val="standard"/>
        <c:ser>
          <c:idx val="1"/>
          <c:order val="2"/>
          <c:tx>
            <c:strRef>
              <c:f>'Baseline Calculation Sheet'!$C$25</c:f>
              <c:strCache>
                <c:ptCount val="1"/>
                <c:pt idx="0">
                  <c:v>Baseline NPV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'Baseline Calculation Sheet'!$D$22:$M$22</c:f>
              <c:strCache>
                <c:ptCount val="10"/>
                <c:pt idx="0">
                  <c:v>Yr 0</c:v>
                </c:pt>
                <c:pt idx="1">
                  <c:v>Yr 1</c:v>
                </c:pt>
                <c:pt idx="2">
                  <c:v>Yr 2</c:v>
                </c:pt>
                <c:pt idx="3">
                  <c:v>Yr 3</c:v>
                </c:pt>
                <c:pt idx="4">
                  <c:v>Yr 4</c:v>
                </c:pt>
                <c:pt idx="5">
                  <c:v>Yr 5</c:v>
                </c:pt>
                <c:pt idx="6">
                  <c:v>Yr 6</c:v>
                </c:pt>
                <c:pt idx="7">
                  <c:v>Yr 7</c:v>
                </c:pt>
                <c:pt idx="8">
                  <c:v>Yr 8</c:v>
                </c:pt>
                <c:pt idx="9">
                  <c:v>Yr 9</c:v>
                </c:pt>
              </c:strCache>
            </c:strRef>
          </c:cat>
          <c:val>
            <c:numRef>
              <c:f>'Baseline Calculation Sheet'!$D$25:$M$25</c:f>
              <c:numCache>
                <c:formatCode>"$"#,##0_);[Red]\("$"#,##0\)</c:formatCode>
                <c:ptCount val="10"/>
                <c:pt idx="0">
                  <c:v>-14403384.600000001</c:v>
                </c:pt>
                <c:pt idx="1">
                  <c:v>-16223909.072727274</c:v>
                </c:pt>
                <c:pt idx="2">
                  <c:v>-15962866.477685953</c:v>
                </c:pt>
                <c:pt idx="3">
                  <c:v>-14406095.974305037</c:v>
                </c:pt>
                <c:pt idx="4">
                  <c:v>-11791341.83182843</c:v>
                </c:pt>
                <c:pt idx="5">
                  <c:v>-8323830.583838664</c:v>
                </c:pt>
                <c:pt idx="6">
                  <c:v>-3367185.0040364461</c:v>
                </c:pt>
                <c:pt idx="7">
                  <c:v>3391877.1502393037</c:v>
                </c:pt>
                <c:pt idx="8">
                  <c:v>11584679.761482637</c:v>
                </c:pt>
                <c:pt idx="9">
                  <c:v>20894682.728804607</c:v>
                </c:pt>
              </c:numCache>
            </c:numRef>
          </c:val>
        </c:ser>
        <c:marker val="1"/>
        <c:axId val="104660352"/>
        <c:axId val="106103936"/>
      </c:lineChart>
      <c:catAx>
        <c:axId val="104657280"/>
        <c:scaling>
          <c:orientation val="minMax"/>
        </c:scaling>
        <c:axPos val="b"/>
        <c:majorGridlines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crossAx val="104658816"/>
        <c:crosses val="autoZero"/>
        <c:auto val="1"/>
        <c:lblAlgn val="ctr"/>
        <c:lblOffset val="100"/>
        <c:tickMarkSkip val="1"/>
      </c:catAx>
      <c:valAx>
        <c:axId val="104658816"/>
        <c:scaling>
          <c:orientation val="minMax"/>
        </c:scaling>
        <c:axPos val="l"/>
        <c:numFmt formatCode="&quot;$&quot;#,##0_);[Red]\(&quot;$&quot;#,##0\)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4657280"/>
        <c:crosses val="autoZero"/>
        <c:crossBetween val="between"/>
      </c:valAx>
      <c:catAx>
        <c:axId val="104660352"/>
        <c:scaling>
          <c:orientation val="minMax"/>
        </c:scaling>
        <c:delete val="1"/>
        <c:axPos val="b"/>
        <c:tickLblPos val="none"/>
        <c:crossAx val="106103936"/>
        <c:crosses val="autoZero"/>
        <c:lblAlgn val="ctr"/>
        <c:lblOffset val="100"/>
      </c:catAx>
      <c:valAx>
        <c:axId val="106103936"/>
        <c:scaling>
          <c:orientation val="minMax"/>
        </c:scaling>
        <c:delete val="1"/>
        <c:axPos val="l"/>
        <c:numFmt formatCode="&quot;$&quot;#,##0_);[Red]\(&quot;$&quot;#,##0\)" sourceLinked="1"/>
        <c:tickLblPos val="none"/>
        <c:crossAx val="1046603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806106515166637"/>
          <c:y val="0.87434554973821987"/>
          <c:w val="0.71127501467379972"/>
          <c:h val="3.83944153577661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Better Option Comparison Cashflow Chart</a:t>
            </a:r>
          </a:p>
        </c:rich>
      </c:tx>
      <c:layout>
        <c:manualLayout>
          <c:xMode val="edge"/>
          <c:yMode val="edge"/>
          <c:x val="0.26203020723568682"/>
          <c:y val="0.1022294725394236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plotArea>
      <c:layout>
        <c:manualLayout>
          <c:layoutTarget val="inner"/>
          <c:xMode val="edge"/>
          <c:yMode val="edge"/>
          <c:x val="0.11696522655426769"/>
          <c:y val="1.7944535073409467E-2"/>
          <c:w val="0.71303126097646641"/>
          <c:h val="0.90375203915171287"/>
        </c:manualLayout>
      </c:layout>
      <c:barChart>
        <c:barDir val="col"/>
        <c:grouping val="clustered"/>
        <c:ser>
          <c:idx val="2"/>
          <c:order val="0"/>
          <c:tx>
            <c:strRef>
              <c:f>'Better Option Calculation Sheet'!$C$22</c:f>
              <c:strCache>
                <c:ptCount val="1"/>
                <c:pt idx="0">
                  <c:v>Baseline Yrly Net-Cash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'Better Option Calculation Sheet'!$D$21:$M$21</c:f>
              <c:strCache>
                <c:ptCount val="10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  <c:pt idx="6">
                  <c:v>Year 7</c:v>
                </c:pt>
                <c:pt idx="7">
                  <c:v>Year 8</c:v>
                </c:pt>
                <c:pt idx="8">
                  <c:v>Year 9</c:v>
                </c:pt>
                <c:pt idx="9">
                  <c:v>Year 10</c:v>
                </c:pt>
              </c:strCache>
            </c:strRef>
          </c:cat>
          <c:val>
            <c:numRef>
              <c:f>'Better Option Calculation Sheet'!$D$22:$M$22</c:f>
              <c:numCache>
                <c:formatCode>"$"#,##0_);[Red]\("$"#,##0\)</c:formatCode>
                <c:ptCount val="10"/>
                <c:pt idx="0">
                  <c:v>-14403384.600000001</c:v>
                </c:pt>
                <c:pt idx="1">
                  <c:v>-2002576.9200000004</c:v>
                </c:pt>
                <c:pt idx="2">
                  <c:v>315861.54000000004</c:v>
                </c:pt>
                <c:pt idx="3">
                  <c:v>2072061.54</c:v>
                </c:pt>
                <c:pt idx="4">
                  <c:v>3828261.54</c:v>
                </c:pt>
                <c:pt idx="5">
                  <c:v>5584461.54</c:v>
                </c:pt>
                <c:pt idx="6">
                  <c:v>8781000</c:v>
                </c:pt>
                <c:pt idx="7">
                  <c:v>13171500</c:v>
                </c:pt>
                <c:pt idx="8">
                  <c:v>17562000</c:v>
                </c:pt>
                <c:pt idx="9">
                  <c:v>21952500</c:v>
                </c:pt>
              </c:numCache>
            </c:numRef>
          </c:val>
        </c:ser>
        <c:ser>
          <c:idx val="3"/>
          <c:order val="2"/>
          <c:tx>
            <c:strRef>
              <c:f>'Better Option Calculation Sheet'!$C$24</c:f>
              <c:strCache>
                <c:ptCount val="1"/>
                <c:pt idx="0">
                  <c:v>Option Yrly Net-Cash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cat>
            <c:strRef>
              <c:f>'Better Option Calculation Sheet'!$D$21:$M$21</c:f>
              <c:strCache>
                <c:ptCount val="10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  <c:pt idx="6">
                  <c:v>Year 7</c:v>
                </c:pt>
                <c:pt idx="7">
                  <c:v>Year 8</c:v>
                </c:pt>
                <c:pt idx="8">
                  <c:v>Year 9</c:v>
                </c:pt>
                <c:pt idx="9">
                  <c:v>Year 10</c:v>
                </c:pt>
              </c:strCache>
            </c:strRef>
          </c:cat>
          <c:val>
            <c:numRef>
              <c:f>'Better Option Calculation Sheet'!$D$24:$M$24</c:f>
              <c:numCache>
                <c:formatCode>"$"#,##0_);[Red]\("$"#,##0\)</c:formatCode>
                <c:ptCount val="10"/>
                <c:pt idx="0">
                  <c:v>-10802538.450000001</c:v>
                </c:pt>
                <c:pt idx="1">
                  <c:v>-970217.69000000064</c:v>
                </c:pt>
                <c:pt idx="2">
                  <c:v>1300326.1549999993</c:v>
                </c:pt>
                <c:pt idx="3">
                  <c:v>3680906.1549999989</c:v>
                </c:pt>
                <c:pt idx="4">
                  <c:v>6061486.1549999975</c:v>
                </c:pt>
                <c:pt idx="5">
                  <c:v>8442066.1549999975</c:v>
                </c:pt>
                <c:pt idx="6">
                  <c:v>11902899.999999996</c:v>
                </c:pt>
                <c:pt idx="7">
                  <c:v>17854349.999999996</c:v>
                </c:pt>
                <c:pt idx="8">
                  <c:v>23805799.999999993</c:v>
                </c:pt>
                <c:pt idx="9">
                  <c:v>29757249.999999993</c:v>
                </c:pt>
              </c:numCache>
            </c:numRef>
          </c:val>
        </c:ser>
        <c:axId val="107574400"/>
        <c:axId val="107575936"/>
      </c:barChart>
      <c:lineChart>
        <c:grouping val="standard"/>
        <c:ser>
          <c:idx val="0"/>
          <c:order val="1"/>
          <c:tx>
            <c:strRef>
              <c:f>'Better Option Calculation Sheet'!$C$23</c:f>
              <c:strCache>
                <c:ptCount val="1"/>
                <c:pt idx="0">
                  <c:v>Baseline NPV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'Better Option Calculation Sheet'!$D$21:$M$21</c:f>
              <c:strCache>
                <c:ptCount val="10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  <c:pt idx="6">
                  <c:v>Year 7</c:v>
                </c:pt>
                <c:pt idx="7">
                  <c:v>Year 8</c:v>
                </c:pt>
                <c:pt idx="8">
                  <c:v>Year 9</c:v>
                </c:pt>
                <c:pt idx="9">
                  <c:v>Year 10</c:v>
                </c:pt>
              </c:strCache>
            </c:strRef>
          </c:cat>
          <c:val>
            <c:numRef>
              <c:f>'Better Option Calculation Sheet'!$D$23:$M$23</c:f>
              <c:numCache>
                <c:formatCode>"$"#,##0_);[Red]\("$"#,##0\)</c:formatCode>
                <c:ptCount val="10"/>
                <c:pt idx="0">
                  <c:v>-14403384.600000001</c:v>
                </c:pt>
                <c:pt idx="1">
                  <c:v>-16223909.072727274</c:v>
                </c:pt>
                <c:pt idx="2">
                  <c:v>-15962866.477685953</c:v>
                </c:pt>
                <c:pt idx="3">
                  <c:v>-14406095.974305037</c:v>
                </c:pt>
                <c:pt idx="4">
                  <c:v>-11791341.83182843</c:v>
                </c:pt>
                <c:pt idx="5">
                  <c:v>-8323830.583838664</c:v>
                </c:pt>
                <c:pt idx="6">
                  <c:v>-3367185.0040364461</c:v>
                </c:pt>
                <c:pt idx="7">
                  <c:v>3391877.1502393037</c:v>
                </c:pt>
                <c:pt idx="8">
                  <c:v>11584679.761482637</c:v>
                </c:pt>
                <c:pt idx="9">
                  <c:v>20894682.728804607</c:v>
                </c:pt>
              </c:numCache>
            </c:numRef>
          </c:val>
        </c:ser>
        <c:marker val="1"/>
        <c:axId val="107574400"/>
        <c:axId val="107575936"/>
      </c:lineChart>
      <c:lineChart>
        <c:grouping val="standard"/>
        <c:ser>
          <c:idx val="4"/>
          <c:order val="3"/>
          <c:tx>
            <c:strRef>
              <c:f>'Better Option Calculation Sheet'!$C$26</c:f>
              <c:strCache>
                <c:ptCount val="1"/>
                <c:pt idx="0">
                  <c:v>Option NPV</c:v>
                </c:pt>
              </c:strCache>
            </c:strRef>
          </c:tx>
          <c:marker>
            <c:symbol val="none"/>
          </c:marker>
          <c:cat>
            <c:strRef>
              <c:f>'Better Option Calculation Sheet'!$D$21:$M$21</c:f>
              <c:strCache>
                <c:ptCount val="10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  <c:pt idx="6">
                  <c:v>Year 7</c:v>
                </c:pt>
                <c:pt idx="7">
                  <c:v>Year 8</c:v>
                </c:pt>
                <c:pt idx="8">
                  <c:v>Year 9</c:v>
                </c:pt>
                <c:pt idx="9">
                  <c:v>Year 10</c:v>
                </c:pt>
              </c:strCache>
            </c:strRef>
          </c:cat>
          <c:val>
            <c:numRef>
              <c:f>'Better Option Calculation Sheet'!$D$26:$M$26</c:f>
              <c:numCache>
                <c:formatCode>"$"#,##0_);[Red]\("$"#,##0\)</c:formatCode>
                <c:ptCount val="10"/>
                <c:pt idx="0">
                  <c:v>-10802538.450000001</c:v>
                </c:pt>
                <c:pt idx="1">
                  <c:v>-11684554.531818183</c:v>
                </c:pt>
                <c:pt idx="2">
                  <c:v>-10609904.816942152</c:v>
                </c:pt>
                <c:pt idx="3">
                  <c:v>-7844385.541960936</c:v>
                </c:pt>
                <c:pt idx="4">
                  <c:v>-3704308.9385868525</c:v>
                </c:pt>
                <c:pt idx="5">
                  <c:v>1537549.947728659</c:v>
                </c:pt>
                <c:pt idx="6">
                  <c:v>8256426.6897657616</c:v>
                </c:pt>
                <c:pt idx="7">
                  <c:v>17418531.337998174</c:v>
                </c:pt>
                <c:pt idx="8">
                  <c:v>28524112.729795039</c:v>
                </c:pt>
                <c:pt idx="9">
                  <c:v>41144091.584109657</c:v>
                </c:pt>
              </c:numCache>
            </c:numRef>
          </c:val>
        </c:ser>
        <c:marker val="1"/>
        <c:axId val="107581824"/>
        <c:axId val="107583360"/>
      </c:lineChart>
      <c:catAx>
        <c:axId val="107574400"/>
        <c:scaling>
          <c:orientation val="minMax"/>
        </c:scaling>
        <c:axPos val="b"/>
        <c:majorGridlines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crossAx val="107575936"/>
        <c:crosses val="autoZero"/>
        <c:lblAlgn val="ctr"/>
        <c:lblOffset val="100"/>
        <c:tickMarkSkip val="1"/>
      </c:catAx>
      <c:valAx>
        <c:axId val="107575936"/>
        <c:scaling>
          <c:orientation val="minMax"/>
        </c:scaling>
        <c:axPos val="l"/>
        <c:numFmt formatCode="&quot;$&quot;#,##0_);[Red]\(&quot;$&quot;#,##0\)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7574400"/>
        <c:crosses val="autoZero"/>
        <c:crossBetween val="between"/>
      </c:valAx>
      <c:catAx>
        <c:axId val="107581824"/>
        <c:scaling>
          <c:orientation val="minMax"/>
        </c:scaling>
        <c:delete val="1"/>
        <c:axPos val="b"/>
        <c:tickLblPos val="none"/>
        <c:crossAx val="107583360"/>
        <c:crosses val="autoZero"/>
        <c:lblAlgn val="ctr"/>
        <c:lblOffset val="100"/>
      </c:catAx>
      <c:valAx>
        <c:axId val="107583360"/>
        <c:scaling>
          <c:orientation val="minMax"/>
        </c:scaling>
        <c:delete val="1"/>
        <c:axPos val="l"/>
        <c:numFmt formatCode="&quot;$&quot;#,##0_);[Red]\(&quot;$&quot;#,##0\)" sourceLinked="1"/>
        <c:tickLblPos val="none"/>
        <c:crossAx val="107581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704244556364071"/>
          <c:y val="0.56467371431752111"/>
          <c:w val="0.13204782489649283"/>
          <c:h val="0.3898476148882695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800"/>
              <a:t>Worse Option Cashflow Chart</a:t>
            </a:r>
          </a:p>
        </c:rich>
      </c:tx>
      <c:layout>
        <c:manualLayout>
          <c:xMode val="edge"/>
          <c:yMode val="edge"/>
          <c:x val="0.16262732701088867"/>
          <c:y val="7.662942655728242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plotArea>
      <c:layout>
        <c:manualLayout>
          <c:layoutTarget val="inner"/>
          <c:xMode val="edge"/>
          <c:yMode val="edge"/>
          <c:x val="8.5353003161222588E-2"/>
          <c:y val="4.0139616055846587E-2"/>
          <c:w val="0.72918861959958114"/>
          <c:h val="0.89005235602094246"/>
        </c:manualLayout>
      </c:layout>
      <c:barChart>
        <c:barDir val="col"/>
        <c:grouping val="clustered"/>
        <c:ser>
          <c:idx val="3"/>
          <c:order val="0"/>
          <c:tx>
            <c:strRef>
              <c:f>'Worse Option Calculation S'!$C$22</c:f>
              <c:strCache>
                <c:ptCount val="1"/>
                <c:pt idx="0">
                  <c:v>Baseline Yrly Net-Cash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'Worse Option Calculation S'!$D$21:$M$21</c:f>
              <c:strCache>
                <c:ptCount val="10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  <c:pt idx="6">
                  <c:v>Year 7</c:v>
                </c:pt>
                <c:pt idx="7">
                  <c:v>Year 8</c:v>
                </c:pt>
                <c:pt idx="8">
                  <c:v>Year 9</c:v>
                </c:pt>
                <c:pt idx="9">
                  <c:v>Year 10</c:v>
                </c:pt>
              </c:strCache>
            </c:strRef>
          </c:cat>
          <c:val>
            <c:numRef>
              <c:f>'Worse Option Calculation S'!$D$22:$M$22</c:f>
              <c:numCache>
                <c:formatCode>"$"#,##0_);[Red]\("$"#,##0\)</c:formatCode>
                <c:ptCount val="10"/>
                <c:pt idx="0">
                  <c:v>-14403384.600000001</c:v>
                </c:pt>
                <c:pt idx="1">
                  <c:v>-2002576.9200000004</c:v>
                </c:pt>
                <c:pt idx="2">
                  <c:v>315861.54000000004</c:v>
                </c:pt>
                <c:pt idx="3">
                  <c:v>2072061.54</c:v>
                </c:pt>
                <c:pt idx="4">
                  <c:v>3828261.54</c:v>
                </c:pt>
                <c:pt idx="5">
                  <c:v>5584461.54</c:v>
                </c:pt>
                <c:pt idx="6">
                  <c:v>8781000</c:v>
                </c:pt>
                <c:pt idx="7">
                  <c:v>13171500</c:v>
                </c:pt>
                <c:pt idx="8">
                  <c:v>17562000</c:v>
                </c:pt>
                <c:pt idx="9">
                  <c:v>21952500</c:v>
                </c:pt>
              </c:numCache>
            </c:numRef>
          </c:val>
        </c:ser>
        <c:ser>
          <c:idx val="1"/>
          <c:order val="2"/>
          <c:tx>
            <c:strRef>
              <c:f>'Worse Option Calculation S'!$C$24</c:f>
              <c:strCache>
                <c:ptCount val="1"/>
                <c:pt idx="0">
                  <c:v>Option Yrly Net-Cash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cat>
            <c:strRef>
              <c:f>'Worse Option Calculation S'!$D$21:$M$21</c:f>
              <c:strCache>
                <c:ptCount val="10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  <c:pt idx="6">
                  <c:v>Year 7</c:v>
                </c:pt>
                <c:pt idx="7">
                  <c:v>Year 8</c:v>
                </c:pt>
                <c:pt idx="8">
                  <c:v>Year 9</c:v>
                </c:pt>
                <c:pt idx="9">
                  <c:v>Year 10</c:v>
                </c:pt>
              </c:strCache>
            </c:strRef>
          </c:cat>
          <c:val>
            <c:numRef>
              <c:f>'Worse Option Calculation S'!$D$24:$M$24</c:f>
              <c:numCache>
                <c:formatCode>"$"#,##0_);[Red]\("$"#,##0\)</c:formatCode>
                <c:ptCount val="10"/>
                <c:pt idx="0">
                  <c:v>-18004230.75</c:v>
                </c:pt>
                <c:pt idx="1">
                  <c:v>-2758841.1500000004</c:v>
                </c:pt>
                <c:pt idx="2">
                  <c:v>-116413.07500000019</c:v>
                </c:pt>
                <c:pt idx="3">
                  <c:v>1567596.9249999998</c:v>
                </c:pt>
                <c:pt idx="4">
                  <c:v>3251606.9249999998</c:v>
                </c:pt>
                <c:pt idx="5">
                  <c:v>4935616.9249999998</c:v>
                </c:pt>
                <c:pt idx="6">
                  <c:v>8420050</c:v>
                </c:pt>
                <c:pt idx="7">
                  <c:v>12630075</c:v>
                </c:pt>
                <c:pt idx="8">
                  <c:v>16840100</c:v>
                </c:pt>
                <c:pt idx="9">
                  <c:v>21050125</c:v>
                </c:pt>
              </c:numCache>
            </c:numRef>
          </c:val>
        </c:ser>
        <c:axId val="107639552"/>
        <c:axId val="107641088"/>
      </c:barChart>
      <c:lineChart>
        <c:grouping val="standard"/>
        <c:ser>
          <c:idx val="0"/>
          <c:order val="1"/>
          <c:tx>
            <c:strRef>
              <c:f>'Worse Option Calculation S'!$C$23</c:f>
              <c:strCache>
                <c:ptCount val="1"/>
                <c:pt idx="0">
                  <c:v>Baseline NPV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'Worse Option Calculation S'!$D$21:$M$21</c:f>
              <c:strCache>
                <c:ptCount val="10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  <c:pt idx="6">
                  <c:v>Year 7</c:v>
                </c:pt>
                <c:pt idx="7">
                  <c:v>Year 8</c:v>
                </c:pt>
                <c:pt idx="8">
                  <c:v>Year 9</c:v>
                </c:pt>
                <c:pt idx="9">
                  <c:v>Year 10</c:v>
                </c:pt>
              </c:strCache>
            </c:strRef>
          </c:cat>
          <c:val>
            <c:numRef>
              <c:f>'Worse Option Calculation S'!$D$23:$M$23</c:f>
              <c:numCache>
                <c:formatCode>"$"#,##0_);[Red]\("$"#,##0\)</c:formatCode>
                <c:ptCount val="10"/>
                <c:pt idx="0">
                  <c:v>-14403384.600000001</c:v>
                </c:pt>
                <c:pt idx="1">
                  <c:v>-16223909.072727274</c:v>
                </c:pt>
                <c:pt idx="2">
                  <c:v>-15962866.477685953</c:v>
                </c:pt>
                <c:pt idx="3">
                  <c:v>-14406095.974305037</c:v>
                </c:pt>
                <c:pt idx="4">
                  <c:v>-11791341.83182843</c:v>
                </c:pt>
                <c:pt idx="5">
                  <c:v>-8323830.583838664</c:v>
                </c:pt>
                <c:pt idx="6">
                  <c:v>-3367185.0040364461</c:v>
                </c:pt>
                <c:pt idx="7">
                  <c:v>3391877.1502393037</c:v>
                </c:pt>
                <c:pt idx="8">
                  <c:v>11584679.761482637</c:v>
                </c:pt>
                <c:pt idx="9">
                  <c:v>20894682.728804607</c:v>
                </c:pt>
              </c:numCache>
            </c:numRef>
          </c:val>
        </c:ser>
        <c:ser>
          <c:idx val="4"/>
          <c:order val="3"/>
          <c:tx>
            <c:strRef>
              <c:f>'Worse Option Calculation S'!$C$26</c:f>
              <c:strCache>
                <c:ptCount val="1"/>
                <c:pt idx="0">
                  <c:v>Option NPV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'Worse Option Calculation S'!$D$21:$M$21</c:f>
              <c:strCache>
                <c:ptCount val="10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  <c:pt idx="6">
                  <c:v>Year 7</c:v>
                </c:pt>
                <c:pt idx="7">
                  <c:v>Year 8</c:v>
                </c:pt>
                <c:pt idx="8">
                  <c:v>Year 9</c:v>
                </c:pt>
                <c:pt idx="9">
                  <c:v>Year 10</c:v>
                </c:pt>
              </c:strCache>
            </c:strRef>
          </c:cat>
          <c:val>
            <c:numRef>
              <c:f>'Worse Option Calculation S'!$D$26:$M$26</c:f>
              <c:numCache>
                <c:formatCode>"$"#,##0_);[Red]\("$"#,##0\)</c:formatCode>
                <c:ptCount val="10"/>
                <c:pt idx="0">
                  <c:v>-18004230.75</c:v>
                </c:pt>
                <c:pt idx="1">
                  <c:v>-20403223.054347828</c:v>
                </c:pt>
                <c:pt idx="2">
                  <c:v>-20491248.063799623</c:v>
                </c:pt>
                <c:pt idx="3">
                  <c:v>-19460527.639701653</c:v>
                </c:pt>
                <c:pt idx="4">
                  <c:v>-17601410.826940119</c:v>
                </c:pt>
                <c:pt idx="5">
                  <c:v>-15147536.917485636</c:v>
                </c:pt>
                <c:pt idx="6">
                  <c:v>-11507316.943530535</c:v>
                </c:pt>
                <c:pt idx="7">
                  <c:v>-6759203.9340238804</c:v>
                </c:pt>
                <c:pt idx="8">
                  <c:v>-1254145.3722770344</c:v>
                </c:pt>
                <c:pt idx="9">
                  <c:v>4729613.9339695387</c:v>
                </c:pt>
              </c:numCache>
            </c:numRef>
          </c:val>
        </c:ser>
        <c:marker val="1"/>
        <c:axId val="107639552"/>
        <c:axId val="107641088"/>
      </c:lineChart>
      <c:catAx>
        <c:axId val="107639552"/>
        <c:scaling>
          <c:orientation val="minMax"/>
        </c:scaling>
        <c:axPos val="b"/>
        <c:majorGridlines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crossAx val="107641088"/>
        <c:crosses val="autoZero"/>
        <c:auto val="1"/>
        <c:lblAlgn val="ctr"/>
        <c:lblOffset val="100"/>
        <c:tickMarkSkip val="1"/>
      </c:catAx>
      <c:valAx>
        <c:axId val="107641088"/>
        <c:scaling>
          <c:orientation val="minMax"/>
        </c:scaling>
        <c:axPos val="l"/>
        <c:numFmt formatCode="&quot;$&quot;#,##0_);[Red]\(&quot;$&quot;#,##0\)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76395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613277133825058"/>
          <c:y val="0.38917975567190238"/>
          <c:w val="0.17070600632244504"/>
          <c:h val="0.1849912739965097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5" workbookViewId="0"/>
  </sheetViews>
  <pageMargins left="0.5" right="0.5" top="1" bottom="1" header="0.5" footer="0.5"/>
  <pageSetup orientation="landscape" horizontalDpi="300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5" right="0.5" top="1" bottom="1" header="0.5" footer="0.5"/>
  <pageSetup orientation="landscape" horizontalDpi="300" verticalDpi="3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5" right="0.5" top="1" bottom="1" header="0.5" footer="0.5"/>
  <pageSetup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029700" cy="5457825"/>
    <xdr:graphicFrame macro="">
      <xdr:nvGraphicFramePr>
        <xdr:cNvPr id="2" name="Shap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40901" y="33057"/>
    <xdr:ext cx="9039225" cy="5838825"/>
    <xdr:graphicFrame macro="">
      <xdr:nvGraphicFramePr>
        <xdr:cNvPr id="2" name="Shap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039225" cy="5457825"/>
    <xdr:graphicFrame macro="">
      <xdr:nvGraphicFramePr>
        <xdr:cNvPr id="2" name="Shap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558800</xdr:colOff>
      <xdr:row>30</xdr:row>
      <xdr:rowOff>152400</xdr:rowOff>
    </xdr:from>
    <xdr:ext cx="5645003" cy="359360"/>
    <xdr:sp macro="" textlink="">
      <xdr:nvSpPr>
        <xdr:cNvPr id="2" name="TextBox 1"/>
        <xdr:cNvSpPr txBox="1"/>
      </xdr:nvSpPr>
      <xdr:spPr>
        <a:xfrm>
          <a:off x="558800" y="12014200"/>
          <a:ext cx="5692520" cy="405432"/>
        </a:xfrm>
        <a:prstGeom prst="rect">
          <a:avLst/>
        </a:prstGeom>
        <a:noFill/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2000" b="1">
              <a:solidFill>
                <a:srgbClr val="FF0000"/>
              </a:solidFill>
            </a:rPr>
            <a:t>Copy</a:t>
          </a:r>
          <a:r>
            <a:rPr lang="en-US" sz="2000" b="1" baseline="0">
              <a:solidFill>
                <a:srgbClr val="FF0000"/>
              </a:solidFill>
            </a:rPr>
            <a:t> and Paste the Transpose of Values from J2:J31</a:t>
          </a:r>
          <a:endParaRPr lang="en-US" sz="2000" b="1">
            <a:solidFill>
              <a:srgbClr val="FF0000"/>
            </a:solidFill>
          </a:endParaRPr>
        </a:p>
      </xdr:txBody>
    </xdr:sp>
    <xdr:clientData/>
  </xdr:oneCellAnchor>
  <xdr:twoCellAnchor>
    <xdr:from>
      <xdr:col>0</xdr:col>
      <xdr:colOff>1130300</xdr:colOff>
      <xdr:row>24</xdr:row>
      <xdr:rowOff>114300</xdr:rowOff>
    </xdr:from>
    <xdr:to>
      <xdr:col>2</xdr:col>
      <xdr:colOff>1155700</xdr:colOff>
      <xdr:row>30</xdr:row>
      <xdr:rowOff>127000</xdr:rowOff>
    </xdr:to>
    <xdr:cxnSp macro="">
      <xdr:nvCxnSpPr>
        <xdr:cNvPr id="4" name="Straight Arrow Connector 3"/>
        <xdr:cNvCxnSpPr/>
      </xdr:nvCxnSpPr>
      <xdr:spPr>
        <a:xfrm flipV="1">
          <a:off x="1130300" y="10972800"/>
          <a:ext cx="1231900" cy="1016000"/>
        </a:xfrm>
        <a:prstGeom prst="straightConnector1">
          <a:avLst/>
        </a:prstGeom>
        <a:ln w="38100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31</xdr:row>
      <xdr:rowOff>3175</xdr:rowOff>
    </xdr:from>
    <xdr:ext cx="5578289" cy="367717"/>
    <xdr:sp macro="" textlink="">
      <xdr:nvSpPr>
        <xdr:cNvPr id="2" name="TextBox 1"/>
        <xdr:cNvSpPr txBox="1"/>
      </xdr:nvSpPr>
      <xdr:spPr>
        <a:xfrm>
          <a:off x="133350" y="10594975"/>
          <a:ext cx="5692520" cy="405432"/>
        </a:xfrm>
        <a:prstGeom prst="rect">
          <a:avLst/>
        </a:prstGeom>
        <a:noFill/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2000" b="1">
              <a:solidFill>
                <a:srgbClr val="FF0000"/>
              </a:solidFill>
            </a:rPr>
            <a:t>Copy</a:t>
          </a:r>
          <a:r>
            <a:rPr lang="en-US" sz="2000" b="1" baseline="0">
              <a:solidFill>
                <a:srgbClr val="FF0000"/>
              </a:solidFill>
            </a:rPr>
            <a:t> and Paste the Transpose of Values from J2:J31</a:t>
          </a:r>
          <a:endParaRPr lang="en-US" sz="2000" b="1">
            <a:solidFill>
              <a:srgbClr val="FF0000"/>
            </a:solidFill>
          </a:endParaRPr>
        </a:p>
      </xdr:txBody>
    </xdr:sp>
    <xdr:clientData/>
  </xdr:oneCellAnchor>
  <xdr:twoCellAnchor>
    <xdr:from>
      <xdr:col>0</xdr:col>
      <xdr:colOff>704850</xdr:colOff>
      <xdr:row>25</xdr:row>
      <xdr:rowOff>171450</xdr:rowOff>
    </xdr:from>
    <xdr:to>
      <xdr:col>3</xdr:col>
      <xdr:colOff>412750</xdr:colOff>
      <xdr:row>30</xdr:row>
      <xdr:rowOff>177800</xdr:rowOff>
    </xdr:to>
    <xdr:cxnSp macro="">
      <xdr:nvCxnSpPr>
        <xdr:cNvPr id="3" name="Straight Arrow Connector 2"/>
        <xdr:cNvCxnSpPr/>
      </xdr:nvCxnSpPr>
      <xdr:spPr>
        <a:xfrm flipV="1">
          <a:off x="704850" y="9553575"/>
          <a:ext cx="1231900" cy="1016000"/>
        </a:xfrm>
        <a:prstGeom prst="straightConnector1">
          <a:avLst/>
        </a:prstGeom>
        <a:ln w="38100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31</xdr:row>
      <xdr:rowOff>3175</xdr:rowOff>
    </xdr:from>
    <xdr:ext cx="5578289" cy="367717"/>
    <xdr:sp macro="" textlink="">
      <xdr:nvSpPr>
        <xdr:cNvPr id="2" name="TextBox 1"/>
        <xdr:cNvSpPr txBox="1"/>
      </xdr:nvSpPr>
      <xdr:spPr>
        <a:xfrm>
          <a:off x="133350" y="6413500"/>
          <a:ext cx="5692520" cy="405432"/>
        </a:xfrm>
        <a:prstGeom prst="rect">
          <a:avLst/>
        </a:prstGeom>
        <a:noFill/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2000" b="1">
              <a:solidFill>
                <a:srgbClr val="FF0000"/>
              </a:solidFill>
            </a:rPr>
            <a:t>Copy</a:t>
          </a:r>
          <a:r>
            <a:rPr lang="en-US" sz="2000" b="1" baseline="0">
              <a:solidFill>
                <a:srgbClr val="FF0000"/>
              </a:solidFill>
            </a:rPr>
            <a:t> and Paste the Transpose of Values from J2:J31</a:t>
          </a:r>
          <a:endParaRPr lang="en-US" sz="2000" b="1">
            <a:solidFill>
              <a:srgbClr val="FF0000"/>
            </a:solidFill>
          </a:endParaRPr>
        </a:p>
      </xdr:txBody>
    </xdr:sp>
    <xdr:clientData/>
  </xdr:oneCellAnchor>
  <xdr:twoCellAnchor>
    <xdr:from>
      <xdr:col>0</xdr:col>
      <xdr:colOff>704850</xdr:colOff>
      <xdr:row>25</xdr:row>
      <xdr:rowOff>171450</xdr:rowOff>
    </xdr:from>
    <xdr:to>
      <xdr:col>3</xdr:col>
      <xdr:colOff>412750</xdr:colOff>
      <xdr:row>30</xdr:row>
      <xdr:rowOff>177800</xdr:rowOff>
    </xdr:to>
    <xdr:cxnSp macro="">
      <xdr:nvCxnSpPr>
        <xdr:cNvPr id="3" name="Straight Arrow Connector 2"/>
        <xdr:cNvCxnSpPr/>
      </xdr:nvCxnSpPr>
      <xdr:spPr>
        <a:xfrm flipV="1">
          <a:off x="704850" y="5410200"/>
          <a:ext cx="1231900" cy="977900"/>
        </a:xfrm>
        <a:prstGeom prst="straightConnector1">
          <a:avLst/>
        </a:prstGeom>
        <a:ln w="38100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3"/>
  <sheetViews>
    <sheetView topLeftCell="B1" zoomScale="87" zoomScaleNormal="87" workbookViewId="0">
      <selection activeCell="B2" sqref="B2:J33"/>
    </sheetView>
  </sheetViews>
  <sheetFormatPr defaultColWidth="8.6640625" defaultRowHeight="12.75"/>
  <cols>
    <col min="1" max="1" width="8.6640625" customWidth="1"/>
    <col min="2" max="2" width="2.83203125" customWidth="1"/>
    <col min="3" max="3" width="7" bestFit="1" customWidth="1"/>
    <col min="4" max="4" width="27.33203125" customWidth="1"/>
    <col min="5" max="5" width="23" customWidth="1"/>
    <col min="6" max="6" width="2.83203125" customWidth="1"/>
    <col min="7" max="7" width="7.5" customWidth="1"/>
    <col min="8" max="8" width="13" customWidth="1"/>
    <col min="9" max="9" width="10.83203125" customWidth="1"/>
    <col min="10" max="10" width="2.83203125" customWidth="1"/>
    <col min="12" max="12" width="16" customWidth="1"/>
    <col min="13" max="13" width="83.6640625" bestFit="1" customWidth="1"/>
    <col min="14" max="14" width="13.5" bestFit="1" customWidth="1"/>
    <col min="16" max="16" width="8.83203125" bestFit="1" customWidth="1"/>
  </cols>
  <sheetData>
    <row r="1" spans="1:22" ht="13.5" thickBot="1"/>
    <row r="2" spans="1:22" ht="26.25" thickBot="1">
      <c r="A2" t="s">
        <v>0</v>
      </c>
      <c r="B2" s="62" t="s">
        <v>1</v>
      </c>
      <c r="C2" s="63"/>
      <c r="D2" s="63"/>
      <c r="E2" s="63"/>
      <c r="F2" s="63"/>
      <c r="G2" s="63"/>
      <c r="H2" s="63"/>
      <c r="I2" s="63"/>
      <c r="J2" s="64"/>
    </row>
    <row r="3" spans="1:22" ht="13.5" thickBot="1">
      <c r="M3" s="124"/>
      <c r="N3" s="143"/>
      <c r="P3" s="143"/>
    </row>
    <row r="4" spans="1:22" ht="15" customHeight="1" thickBot="1">
      <c r="B4" s="24"/>
      <c r="C4" s="48"/>
      <c r="D4" s="25"/>
      <c r="E4" s="25"/>
      <c r="F4" s="25"/>
      <c r="G4" s="25"/>
      <c r="H4" s="25"/>
      <c r="I4" s="25"/>
      <c r="J4" s="26"/>
      <c r="M4" s="7" t="s">
        <v>71</v>
      </c>
      <c r="N4" s="148"/>
    </row>
    <row r="5" spans="1:22" ht="15" customHeight="1">
      <c r="B5" s="27"/>
      <c r="C5" s="49"/>
      <c r="D5" s="53" t="s">
        <v>2</v>
      </c>
      <c r="E5" s="20"/>
      <c r="F5" s="28"/>
      <c r="G5" s="19" t="s">
        <v>3</v>
      </c>
      <c r="H5" s="54"/>
      <c r="I5" s="20"/>
      <c r="J5" s="29"/>
      <c r="M5" s="7" t="s">
        <v>72</v>
      </c>
      <c r="N5" s="149">
        <v>2000</v>
      </c>
    </row>
    <row r="6" spans="1:22" ht="15" customHeight="1">
      <c r="B6" s="27"/>
      <c r="C6" s="49"/>
      <c r="D6" s="60" t="s">
        <v>4</v>
      </c>
      <c r="E6" s="61" t="s">
        <v>5</v>
      </c>
      <c r="F6" s="28"/>
      <c r="G6" s="2"/>
      <c r="H6" s="91" t="s">
        <v>6</v>
      </c>
      <c r="I6" s="91" t="s">
        <v>7</v>
      </c>
      <c r="J6" s="29"/>
      <c r="M6" s="7" t="s">
        <v>78</v>
      </c>
      <c r="N6" s="149">
        <v>400000</v>
      </c>
    </row>
    <row r="7" spans="1:22" ht="15" customHeight="1" thickBot="1">
      <c r="B7" s="27"/>
      <c r="C7" s="49"/>
      <c r="D7" s="55">
        <v>1600000</v>
      </c>
      <c r="E7" s="21">
        <v>0</v>
      </c>
      <c r="F7" s="28"/>
      <c r="G7" s="2" t="s">
        <v>8</v>
      </c>
      <c r="H7" s="2">
        <v>0</v>
      </c>
      <c r="I7" s="2">
        <v>0</v>
      </c>
      <c r="J7" s="29"/>
      <c r="M7" s="7" t="s">
        <v>83</v>
      </c>
      <c r="N7" s="149">
        <f>100000*2</f>
        <v>200000</v>
      </c>
    </row>
    <row r="8" spans="1:22" ht="15" customHeight="1" thickBot="1">
      <c r="B8" s="27"/>
      <c r="C8" s="49"/>
      <c r="D8" s="22"/>
      <c r="E8" s="23"/>
      <c r="F8" s="28"/>
      <c r="G8" s="2" t="s">
        <v>9</v>
      </c>
      <c r="H8" s="2">
        <v>1</v>
      </c>
      <c r="I8" s="2">
        <v>1</v>
      </c>
      <c r="J8" s="29"/>
      <c r="M8" s="7" t="s">
        <v>73</v>
      </c>
      <c r="N8" s="149">
        <v>1000</v>
      </c>
    </row>
    <row r="9" spans="1:22" ht="15" customHeight="1">
      <c r="B9" s="27"/>
      <c r="C9" s="77" t="s">
        <v>10</v>
      </c>
      <c r="D9" s="78"/>
      <c r="E9" s="51" t="s">
        <v>11</v>
      </c>
      <c r="F9" s="28"/>
      <c r="G9" s="2" t="s">
        <v>12</v>
      </c>
      <c r="H9" s="2">
        <v>2</v>
      </c>
      <c r="I9" s="2">
        <v>2</v>
      </c>
      <c r="J9" s="29"/>
      <c r="M9" s="7" t="s">
        <v>67</v>
      </c>
      <c r="N9" s="149">
        <v>300</v>
      </c>
    </row>
    <row r="10" spans="1:22" ht="15" customHeight="1">
      <c r="B10" s="27"/>
      <c r="C10" s="84" t="s">
        <v>13</v>
      </c>
      <c r="D10" s="83" t="s">
        <v>14</v>
      </c>
      <c r="E10" s="52" t="s">
        <v>15</v>
      </c>
      <c r="F10" s="28"/>
      <c r="G10" s="2" t="s">
        <v>16</v>
      </c>
      <c r="H10" s="2">
        <v>4</v>
      </c>
      <c r="I10" s="2">
        <v>4</v>
      </c>
      <c r="J10" s="29"/>
      <c r="M10" s="7" t="s">
        <v>68</v>
      </c>
      <c r="N10" s="149">
        <v>300</v>
      </c>
    </row>
    <row r="11" spans="1:22" ht="15" customHeight="1" thickBot="1">
      <c r="B11" s="27"/>
      <c r="C11" s="86">
        <v>1</v>
      </c>
      <c r="D11" s="89">
        <f>(E29+E30+E31+E32)*1.1</f>
        <v>14403384.600000001</v>
      </c>
      <c r="E11" s="50">
        <f>N16</f>
        <v>721900</v>
      </c>
      <c r="F11" s="28"/>
      <c r="G11" s="2" t="s">
        <v>17</v>
      </c>
      <c r="H11" s="2">
        <v>6</v>
      </c>
      <c r="I11" s="2">
        <v>6</v>
      </c>
      <c r="J11" s="29"/>
      <c r="M11" s="7" t="s">
        <v>82</v>
      </c>
      <c r="N11" s="149">
        <v>4300</v>
      </c>
    </row>
    <row r="12" spans="1:22" ht="15" customHeight="1">
      <c r="B12" s="27"/>
      <c r="C12" s="87">
        <v>2</v>
      </c>
      <c r="D12" s="85">
        <f>D$11*0.2</f>
        <v>2880676.9200000004</v>
      </c>
      <c r="E12" s="28"/>
      <c r="F12" s="28"/>
      <c r="G12" s="2" t="s">
        <v>18</v>
      </c>
      <c r="H12" s="2">
        <v>8</v>
      </c>
      <c r="I12" s="2">
        <v>8</v>
      </c>
      <c r="J12" s="29"/>
      <c r="M12" s="7" t="s">
        <v>69</v>
      </c>
      <c r="N12" s="149">
        <v>4000</v>
      </c>
    </row>
    <row r="13" spans="1:22" ht="15" customHeight="1">
      <c r="B13" s="27"/>
      <c r="C13" s="87">
        <v>3</v>
      </c>
      <c r="D13" s="85">
        <f>D11*0.1</f>
        <v>1440338.4600000002</v>
      </c>
      <c r="E13" s="28"/>
      <c r="F13" s="28"/>
      <c r="G13" s="2" t="s">
        <v>19</v>
      </c>
      <c r="H13" s="2">
        <v>10</v>
      </c>
      <c r="I13" s="2">
        <v>10</v>
      </c>
      <c r="J13" s="29"/>
      <c r="M13" s="7" t="s">
        <v>77</v>
      </c>
      <c r="N13" s="149">
        <v>10000</v>
      </c>
    </row>
    <row r="14" spans="1:22" ht="15" customHeight="1">
      <c r="B14" s="27"/>
      <c r="C14" s="87">
        <v>4</v>
      </c>
      <c r="D14" s="85">
        <f>D13</f>
        <v>1440338.4600000002</v>
      </c>
      <c r="E14" s="28"/>
      <c r="F14" s="28"/>
      <c r="G14" s="2" t="s">
        <v>20</v>
      </c>
      <c r="H14" s="2">
        <v>15</v>
      </c>
      <c r="I14" s="2">
        <v>15</v>
      </c>
      <c r="J14" s="29"/>
      <c r="M14" s="7" t="s">
        <v>74</v>
      </c>
      <c r="N14" s="149">
        <v>100000</v>
      </c>
    </row>
    <row r="15" spans="1:22" ht="15" customHeight="1">
      <c r="B15" s="27"/>
      <c r="C15" s="87">
        <v>5</v>
      </c>
      <c r="D15" s="85">
        <f>D14</f>
        <v>1440338.4600000002</v>
      </c>
      <c r="E15" s="28"/>
      <c r="F15" s="28"/>
      <c r="G15" s="2" t="s">
        <v>21</v>
      </c>
      <c r="H15" s="2">
        <v>20</v>
      </c>
      <c r="I15" s="2">
        <v>20</v>
      </c>
      <c r="J15" s="29"/>
      <c r="M15" s="7"/>
    </row>
    <row r="16" spans="1:22" ht="15" customHeight="1" thickBot="1">
      <c r="B16" s="27"/>
      <c r="C16" s="88">
        <v>6</v>
      </c>
      <c r="D16" s="146">
        <f>D15</f>
        <v>1440338.4600000002</v>
      </c>
      <c r="E16" s="28"/>
      <c r="F16" s="28"/>
      <c r="G16" s="2" t="s">
        <v>22</v>
      </c>
      <c r="H16" s="2">
        <v>25</v>
      </c>
      <c r="I16" s="2">
        <v>25</v>
      </c>
      <c r="J16" s="29"/>
      <c r="N16" s="149">
        <f>SUM(N5:N14)</f>
        <v>721900</v>
      </c>
      <c r="V16" s="124"/>
    </row>
    <row r="17" spans="2:22" ht="15" customHeight="1" thickBot="1">
      <c r="B17" s="27"/>
      <c r="C17" s="49"/>
      <c r="D17" s="28"/>
      <c r="E17" s="28"/>
      <c r="F17" s="28"/>
      <c r="G17" s="36"/>
      <c r="H17" s="102">
        <f>SUM(H7:H16)</f>
        <v>91</v>
      </c>
      <c r="I17" s="36"/>
      <c r="J17" s="29"/>
      <c r="L17" s="113"/>
      <c r="M17" s="144"/>
      <c r="V17" s="124"/>
    </row>
    <row r="18" spans="2:22" ht="15" customHeight="1">
      <c r="B18" s="27"/>
      <c r="C18" s="49"/>
      <c r="D18" s="19" t="s">
        <v>23</v>
      </c>
      <c r="E18" s="20"/>
      <c r="F18" s="28"/>
      <c r="G18" s="36"/>
      <c r="H18" s="36"/>
      <c r="I18" s="36"/>
      <c r="J18" s="29"/>
    </row>
    <row r="19" spans="2:22" ht="15" customHeight="1">
      <c r="B19" s="27"/>
      <c r="C19" s="49"/>
      <c r="D19" s="37" t="s">
        <v>24</v>
      </c>
      <c r="E19" s="38">
        <f>SUM(D11:D16)</f>
        <v>23045415.360000007</v>
      </c>
      <c r="F19" s="28"/>
      <c r="G19" s="36"/>
      <c r="H19" s="36"/>
      <c r="I19" s="36"/>
      <c r="J19" s="29"/>
      <c r="V19" s="124"/>
    </row>
    <row r="20" spans="2:22" ht="15" customHeight="1">
      <c r="B20" s="27"/>
      <c r="C20" s="49"/>
      <c r="D20" s="37" t="s">
        <v>2</v>
      </c>
      <c r="E20" s="38">
        <f>'Baseline Calculation Sheet'!D12</f>
        <v>145600000</v>
      </c>
      <c r="F20" s="28"/>
      <c r="G20" s="36"/>
      <c r="H20" s="36"/>
      <c r="I20" s="36"/>
      <c r="J20" s="29"/>
    </row>
    <row r="21" spans="2:22" ht="15" customHeight="1">
      <c r="B21" s="27"/>
      <c r="C21" s="49"/>
      <c r="D21" s="37" t="s">
        <v>11</v>
      </c>
      <c r="E21" s="39">
        <f>'Baseline Calculation Sheet'!E12-E19</f>
        <v>65692900.000000007</v>
      </c>
      <c r="F21" s="36"/>
      <c r="G21" s="36"/>
      <c r="H21" s="36"/>
      <c r="I21" s="36"/>
      <c r="J21" s="29"/>
    </row>
    <row r="22" spans="2:22" ht="15" customHeight="1" thickBot="1">
      <c r="B22" s="27"/>
      <c r="C22" s="49"/>
      <c r="D22" s="57" t="s">
        <v>25</v>
      </c>
      <c r="E22" s="56">
        <f>'Baseline Calculation Sheet'!F12</f>
        <v>56861684.640000001</v>
      </c>
      <c r="F22" s="36"/>
      <c r="G22" s="36"/>
      <c r="H22" s="36"/>
      <c r="I22" s="36"/>
      <c r="J22" s="29"/>
    </row>
    <row r="23" spans="2:22" ht="15" customHeight="1">
      <c r="B23" s="27"/>
      <c r="C23" s="49"/>
      <c r="D23" s="19" t="s">
        <v>26</v>
      </c>
      <c r="E23" s="20"/>
      <c r="F23" s="36"/>
      <c r="G23" s="36"/>
      <c r="H23" s="36"/>
      <c r="I23" s="36"/>
      <c r="J23" s="29"/>
    </row>
    <row r="24" spans="2:22" ht="15" customHeight="1">
      <c r="B24" s="27"/>
      <c r="C24" s="49"/>
      <c r="D24" s="58" t="s">
        <v>27</v>
      </c>
      <c r="E24" s="40">
        <f>Baseline_NPV</f>
        <v>20894682.728804607</v>
      </c>
      <c r="F24" s="36"/>
      <c r="G24" s="36"/>
      <c r="H24" s="36"/>
      <c r="I24" s="36"/>
      <c r="J24" s="29"/>
    </row>
    <row r="25" spans="2:22" ht="15" customHeight="1">
      <c r="B25" s="27"/>
      <c r="C25" s="49"/>
      <c r="D25" s="155" t="s">
        <v>28</v>
      </c>
      <c r="E25" s="101">
        <f>Baseline_IRR</f>
        <v>0.24526239529625765</v>
      </c>
      <c r="F25" s="36"/>
      <c r="G25" s="36"/>
      <c r="H25" s="36"/>
      <c r="I25" s="36"/>
      <c r="J25" s="29"/>
    </row>
    <row r="26" spans="2:22" ht="15" customHeight="1">
      <c r="B26" s="27"/>
      <c r="C26" s="49"/>
      <c r="D26" s="36"/>
      <c r="E26" s="36"/>
      <c r="F26" s="36"/>
      <c r="G26" s="36"/>
      <c r="H26" s="36"/>
      <c r="I26" s="36"/>
      <c r="J26" s="29"/>
    </row>
    <row r="27" spans="2:22">
      <c r="B27" s="120"/>
      <c r="C27" s="36"/>
      <c r="D27" s="36"/>
      <c r="E27" s="36"/>
      <c r="F27" s="36"/>
      <c r="G27" s="36"/>
      <c r="H27" s="36"/>
      <c r="I27" s="36"/>
      <c r="J27" s="29"/>
    </row>
    <row r="28" spans="2:22" ht="15.75">
      <c r="B28" s="120"/>
      <c r="C28" s="36"/>
      <c r="D28" s="118" t="s">
        <v>59</v>
      </c>
      <c r="E28" s="119">
        <v>0.1</v>
      </c>
      <c r="F28" s="36"/>
      <c r="G28" s="36"/>
      <c r="H28" s="36"/>
      <c r="I28" s="36"/>
      <c r="J28" s="29"/>
    </row>
    <row r="29" spans="2:22" ht="31.5">
      <c r="B29" s="120"/>
      <c r="C29" s="36"/>
      <c r="D29" s="99" t="s">
        <v>70</v>
      </c>
      <c r="E29" s="147">
        <v>12615986</v>
      </c>
      <c r="F29" s="36"/>
      <c r="G29" s="36"/>
      <c r="H29" s="36"/>
      <c r="I29" s="36"/>
      <c r="J29" s="29"/>
    </row>
    <row r="30" spans="2:22" ht="63">
      <c r="B30" s="120"/>
      <c r="C30" s="36"/>
      <c r="D30" s="99" t="s">
        <v>79</v>
      </c>
      <c r="E30" s="147">
        <v>410000</v>
      </c>
      <c r="F30" s="36"/>
      <c r="G30" s="36"/>
      <c r="H30" s="36"/>
      <c r="I30" s="36"/>
      <c r="J30" s="29"/>
    </row>
    <row r="31" spans="2:22" ht="15.75">
      <c r="B31" s="120"/>
      <c r="C31" s="36"/>
      <c r="D31" s="99" t="s">
        <v>75</v>
      </c>
      <c r="E31" s="147">
        <v>43000</v>
      </c>
      <c r="F31" s="36"/>
      <c r="G31" s="36"/>
      <c r="H31" s="36"/>
      <c r="I31" s="36"/>
      <c r="J31" s="29"/>
    </row>
    <row r="32" spans="2:22" ht="31.5">
      <c r="B32" s="120"/>
      <c r="C32" s="36"/>
      <c r="D32" s="99" t="s">
        <v>76</v>
      </c>
      <c r="E32" s="147">
        <v>25000</v>
      </c>
      <c r="F32" s="36"/>
      <c r="G32" s="36"/>
      <c r="H32" s="36"/>
      <c r="I32" s="36"/>
      <c r="J32" s="29"/>
    </row>
    <row r="33" spans="2:10" ht="13.5" thickBot="1">
      <c r="B33" s="121"/>
      <c r="C33" s="122"/>
      <c r="D33" s="122"/>
      <c r="E33" s="122"/>
      <c r="F33" s="122"/>
      <c r="G33" s="122"/>
      <c r="H33" s="122"/>
      <c r="I33" s="122"/>
      <c r="J33" s="123"/>
    </row>
  </sheetData>
  <phoneticPr fontId="0" type="noConversion"/>
  <printOptions horizontalCentered="1"/>
  <pageMargins left="0.75" right="0.75" top="1" bottom="1" header="0.5" footer="0.5"/>
  <pageSetup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3"/>
  <sheetViews>
    <sheetView topLeftCell="A16" zoomScale="85" workbookViewId="0">
      <selection activeCell="B2" sqref="B2:J33"/>
    </sheetView>
  </sheetViews>
  <sheetFormatPr defaultColWidth="8.6640625" defaultRowHeight="12.75"/>
  <cols>
    <col min="1" max="1" width="8.6640625" customWidth="1"/>
    <col min="2" max="2" width="2.83203125" customWidth="1"/>
    <col min="3" max="3" width="7.6640625" customWidth="1"/>
    <col min="4" max="4" width="29.6640625" customWidth="1"/>
    <col min="5" max="5" width="23" customWidth="1"/>
    <col min="6" max="6" width="2.83203125" customWidth="1"/>
    <col min="7" max="7" width="7.5" customWidth="1"/>
    <col min="8" max="8" width="13" customWidth="1"/>
    <col min="9" max="9" width="10.83203125" customWidth="1"/>
    <col min="10" max="10" width="2.83203125" customWidth="1"/>
    <col min="19" max="19" width="11.1640625" bestFit="1" customWidth="1"/>
  </cols>
  <sheetData>
    <row r="1" spans="1:11" ht="13.5" thickBot="1"/>
    <row r="2" spans="1:11" ht="24" thickBot="1">
      <c r="A2" s="150"/>
      <c r="B2" s="151" t="s">
        <v>57</v>
      </c>
      <c r="C2" s="152"/>
      <c r="D2" s="152"/>
      <c r="E2" s="152"/>
      <c r="F2" s="152"/>
      <c r="G2" s="152"/>
      <c r="H2" s="152"/>
      <c r="I2" s="152"/>
      <c r="J2" s="153"/>
      <c r="K2" s="154"/>
    </row>
    <row r="3" spans="1:11" ht="13.5" thickBot="1"/>
    <row r="4" spans="1:11" ht="15" customHeight="1" thickBot="1">
      <c r="B4" s="24"/>
      <c r="C4" s="48"/>
      <c r="D4" s="25"/>
      <c r="E4" s="25"/>
      <c r="F4" s="25"/>
      <c r="G4" s="25"/>
      <c r="H4" s="25"/>
      <c r="I4" s="25"/>
      <c r="J4" s="26"/>
    </row>
    <row r="5" spans="1:11" ht="15" customHeight="1">
      <c r="B5" s="27"/>
      <c r="C5" s="49"/>
      <c r="D5" s="90" t="s">
        <v>2</v>
      </c>
      <c r="E5" s="90"/>
      <c r="F5" s="28"/>
      <c r="G5" s="19" t="s">
        <v>3</v>
      </c>
      <c r="H5" s="54"/>
      <c r="I5" s="20"/>
      <c r="J5" s="29"/>
    </row>
    <row r="6" spans="1:11" ht="15" customHeight="1">
      <c r="B6" s="27"/>
      <c r="C6" s="49"/>
      <c r="D6" s="91" t="s">
        <v>4</v>
      </c>
      <c r="E6" s="83" t="s">
        <v>5</v>
      </c>
      <c r="F6" s="28"/>
      <c r="G6" s="2"/>
      <c r="H6" s="91" t="s">
        <v>6</v>
      </c>
      <c r="I6" s="91" t="s">
        <v>7</v>
      </c>
      <c r="J6" s="29"/>
    </row>
    <row r="7" spans="1:11" ht="15" customHeight="1">
      <c r="B7" s="27"/>
      <c r="C7" s="49"/>
      <c r="D7" s="3">
        <f>Baseline_Price*1.15</f>
        <v>1839999.9999999998</v>
      </c>
      <c r="E7" s="92">
        <v>0</v>
      </c>
      <c r="F7" s="28"/>
      <c r="G7" s="2" t="s">
        <v>8</v>
      </c>
      <c r="H7" s="2">
        <v>0</v>
      </c>
      <c r="I7" s="2">
        <v>0</v>
      </c>
      <c r="J7" s="29"/>
    </row>
    <row r="8" spans="1:11" ht="15" customHeight="1">
      <c r="B8" s="27"/>
      <c r="C8" s="49"/>
      <c r="D8" s="22"/>
      <c r="E8" s="23"/>
      <c r="F8" s="28"/>
      <c r="G8" s="2" t="s">
        <v>9</v>
      </c>
      <c r="H8" s="2">
        <v>1</v>
      </c>
      <c r="I8" s="2">
        <v>1</v>
      </c>
      <c r="J8" s="29"/>
    </row>
    <row r="9" spans="1:11" ht="15" customHeight="1">
      <c r="B9" s="27"/>
      <c r="C9" s="93" t="s">
        <v>10</v>
      </c>
      <c r="D9" s="93"/>
      <c r="E9" s="95" t="s">
        <v>11</v>
      </c>
      <c r="F9" s="28"/>
      <c r="G9" s="2" t="s">
        <v>12</v>
      </c>
      <c r="H9" s="2">
        <v>2</v>
      </c>
      <c r="I9" s="2">
        <v>2</v>
      </c>
      <c r="J9" s="29"/>
    </row>
    <row r="10" spans="1:11" ht="15" customHeight="1">
      <c r="B10" s="27"/>
      <c r="C10" s="83" t="s">
        <v>13</v>
      </c>
      <c r="D10" s="83" t="s">
        <v>14</v>
      </c>
      <c r="E10" s="83" t="s">
        <v>15</v>
      </c>
      <c r="F10" s="28"/>
      <c r="G10" s="2" t="s">
        <v>16</v>
      </c>
      <c r="H10" s="2">
        <v>4</v>
      </c>
      <c r="I10" s="2">
        <v>4</v>
      </c>
      <c r="J10" s="29"/>
    </row>
    <row r="11" spans="1:11" ht="15" customHeight="1">
      <c r="B11" s="27"/>
      <c r="C11" s="94">
        <v>1</v>
      </c>
      <c r="D11" s="3">
        <f>Baseline_nonrecur*0.75</f>
        <v>10802538.450000001</v>
      </c>
      <c r="E11" s="3">
        <f>Baseline_Recurring*0.9</f>
        <v>649710</v>
      </c>
      <c r="F11" s="28"/>
      <c r="G11" s="2" t="s">
        <v>17</v>
      </c>
      <c r="H11" s="2">
        <v>6</v>
      </c>
      <c r="I11" s="2">
        <v>6</v>
      </c>
      <c r="J11" s="29"/>
    </row>
    <row r="12" spans="1:11" ht="15" customHeight="1">
      <c r="B12" s="27"/>
      <c r="C12" s="94">
        <v>2</v>
      </c>
      <c r="D12" s="3">
        <f>Baseline_nonrecur2*0.75</f>
        <v>2160507.6900000004</v>
      </c>
      <c r="E12" s="28"/>
      <c r="F12" s="28"/>
      <c r="G12" s="2" t="s">
        <v>18</v>
      </c>
      <c r="H12" s="2">
        <v>8</v>
      </c>
      <c r="I12" s="2">
        <v>8</v>
      </c>
      <c r="J12" s="29"/>
    </row>
    <row r="13" spans="1:11" ht="15" customHeight="1">
      <c r="B13" s="27"/>
      <c r="C13" s="94">
        <v>3</v>
      </c>
      <c r="D13" s="3">
        <f>Baseline_nonrecur3*0.75</f>
        <v>1080253.8450000002</v>
      </c>
      <c r="E13" s="28"/>
      <c r="F13" s="28"/>
      <c r="G13" s="2" t="s">
        <v>19</v>
      </c>
      <c r="H13" s="2">
        <v>10</v>
      </c>
      <c r="I13" s="2">
        <v>10</v>
      </c>
      <c r="J13" s="29"/>
    </row>
    <row r="14" spans="1:11" ht="15" customHeight="1">
      <c r="B14" s="27"/>
      <c r="C14" s="94">
        <v>4</v>
      </c>
      <c r="D14" s="3">
        <f>Baseline_nonrecur4*0.75</f>
        <v>1080253.8450000002</v>
      </c>
      <c r="E14" s="28"/>
      <c r="F14" s="28"/>
      <c r="G14" s="2" t="s">
        <v>20</v>
      </c>
      <c r="H14" s="2">
        <v>15</v>
      </c>
      <c r="I14" s="2">
        <v>15</v>
      </c>
      <c r="J14" s="29"/>
    </row>
    <row r="15" spans="1:11" ht="15" customHeight="1">
      <c r="B15" s="27"/>
      <c r="C15" s="94">
        <v>5</v>
      </c>
      <c r="D15" s="3">
        <f>Baseline_nonrecur5*0.75</f>
        <v>1080253.8450000002</v>
      </c>
      <c r="E15" s="28"/>
      <c r="F15" s="28"/>
      <c r="G15" s="2" t="s">
        <v>21</v>
      </c>
      <c r="H15" s="2">
        <v>20</v>
      </c>
      <c r="I15" s="2">
        <v>20</v>
      </c>
      <c r="J15" s="29"/>
    </row>
    <row r="16" spans="1:11" ht="15" customHeight="1">
      <c r="B16" s="27"/>
      <c r="C16" s="94">
        <v>6</v>
      </c>
      <c r="D16" s="3">
        <f>Baseline_nonrecur6*0.75</f>
        <v>1080253.8450000002</v>
      </c>
      <c r="E16" s="28"/>
      <c r="F16" s="28"/>
      <c r="G16" s="2" t="s">
        <v>22</v>
      </c>
      <c r="H16" s="2">
        <v>25</v>
      </c>
      <c r="I16" s="2">
        <v>25</v>
      </c>
      <c r="J16" s="29"/>
    </row>
    <row r="17" spans="2:10" ht="15" customHeight="1">
      <c r="B17" s="27"/>
      <c r="C17" s="49"/>
      <c r="D17" s="28"/>
      <c r="E17" s="28"/>
      <c r="F17" s="28"/>
      <c r="G17" s="36"/>
      <c r="H17" s="102">
        <f>SUM(H7:H16)</f>
        <v>91</v>
      </c>
      <c r="I17" s="36"/>
      <c r="J17" s="29"/>
    </row>
    <row r="18" spans="2:10" ht="15" customHeight="1">
      <c r="B18" s="27"/>
      <c r="C18" s="49"/>
      <c r="D18" s="90" t="s">
        <v>23</v>
      </c>
      <c r="E18" s="90"/>
      <c r="F18" s="28"/>
      <c r="G18" s="36"/>
      <c r="H18" s="36"/>
      <c r="I18" s="36"/>
      <c r="J18" s="29"/>
    </row>
    <row r="19" spans="2:10" ht="15" customHeight="1">
      <c r="B19" s="27"/>
      <c r="C19" s="49"/>
      <c r="D19" s="96" t="s">
        <v>24</v>
      </c>
      <c r="E19" s="97">
        <f>SUM(D11:D16)</f>
        <v>17284061.520000003</v>
      </c>
      <c r="F19" s="28"/>
      <c r="G19" s="36"/>
      <c r="H19" s="36"/>
      <c r="I19" s="36"/>
      <c r="J19" s="29"/>
    </row>
    <row r="20" spans="2:10" ht="15" customHeight="1">
      <c r="B20" s="27"/>
      <c r="C20" s="49"/>
      <c r="D20" s="96" t="s">
        <v>2</v>
      </c>
      <c r="E20" s="97">
        <f>'Better Option Calculation Sheet'!D12</f>
        <v>167439999.99999997</v>
      </c>
      <c r="F20" s="28"/>
      <c r="G20" s="36"/>
      <c r="H20" s="36"/>
      <c r="I20" s="36"/>
      <c r="J20" s="29"/>
    </row>
    <row r="21" spans="2:10" ht="15" customHeight="1">
      <c r="B21" s="27"/>
      <c r="C21" s="49"/>
      <c r="D21" s="96" t="s">
        <v>11</v>
      </c>
      <c r="E21" s="98">
        <f>'Better Option Calculation Sheet'!E12-E19</f>
        <v>59123610.000000007</v>
      </c>
      <c r="F21" s="28"/>
      <c r="G21" s="36"/>
      <c r="H21" s="36"/>
      <c r="I21" s="36"/>
      <c r="J21" s="29"/>
    </row>
    <row r="22" spans="2:10" ht="15" customHeight="1">
      <c r="B22" s="27"/>
      <c r="C22" s="49"/>
      <c r="D22" s="99" t="s">
        <v>25</v>
      </c>
      <c r="E22" s="100">
        <f>'Better Option Calculation Sheet'!F12</f>
        <v>91032328.479999974</v>
      </c>
      <c r="F22" s="36"/>
      <c r="G22" s="36"/>
      <c r="H22" s="36"/>
      <c r="I22" s="36"/>
      <c r="J22" s="29"/>
    </row>
    <row r="23" spans="2:10" ht="15" customHeight="1">
      <c r="B23" s="27"/>
      <c r="C23" s="49"/>
      <c r="D23" s="90" t="s">
        <v>26</v>
      </c>
      <c r="E23" s="90"/>
      <c r="F23" s="36"/>
      <c r="G23" s="36"/>
      <c r="H23" s="36"/>
      <c r="I23" s="36"/>
      <c r="J23" s="29"/>
    </row>
    <row r="24" spans="2:10" ht="15" customHeight="1">
      <c r="B24" s="27"/>
      <c r="C24" s="49"/>
      <c r="D24" s="99" t="s">
        <v>27</v>
      </c>
      <c r="E24" s="100">
        <f>Option_NPV</f>
        <v>41144091.584109657</v>
      </c>
      <c r="F24" s="36"/>
      <c r="G24" s="36"/>
      <c r="H24" s="36"/>
      <c r="I24" s="36"/>
      <c r="J24" s="29"/>
    </row>
    <row r="25" spans="2:10" ht="15" customHeight="1">
      <c r="B25" s="27"/>
      <c r="C25" s="49"/>
      <c r="D25" s="155" t="s">
        <v>28</v>
      </c>
      <c r="E25" s="101">
        <f>Option_IRR</f>
        <v>0.39967722887892271</v>
      </c>
      <c r="F25" s="36"/>
      <c r="G25" s="36"/>
      <c r="H25" s="36"/>
      <c r="I25" s="36"/>
      <c r="J25" s="29"/>
    </row>
    <row r="26" spans="2:10" ht="15" customHeight="1">
      <c r="B26" s="27"/>
      <c r="C26" s="49"/>
      <c r="D26" s="36"/>
      <c r="E26" s="36"/>
      <c r="F26" s="36"/>
      <c r="G26" s="36"/>
      <c r="H26" s="36"/>
      <c r="I26" s="36"/>
      <c r="J26" s="29"/>
    </row>
    <row r="27" spans="2:10">
      <c r="B27" s="120"/>
      <c r="C27" s="36"/>
      <c r="D27" s="36"/>
      <c r="E27" s="36"/>
      <c r="F27" s="36"/>
      <c r="G27" s="36"/>
      <c r="H27" s="36"/>
      <c r="I27" s="36"/>
      <c r="J27" s="29"/>
    </row>
    <row r="28" spans="2:10" ht="15.75">
      <c r="B28" s="120"/>
      <c r="C28" s="36"/>
      <c r="D28" s="118" t="s">
        <v>59</v>
      </c>
      <c r="E28" s="119">
        <v>0.1</v>
      </c>
      <c r="F28" s="36"/>
      <c r="G28" s="36"/>
      <c r="H28" s="36"/>
      <c r="I28" s="36"/>
      <c r="J28" s="29"/>
    </row>
    <row r="29" spans="2:10" ht="31.5">
      <c r="B29" s="120"/>
      <c r="C29" s="36"/>
      <c r="D29" s="99" t="s">
        <v>70</v>
      </c>
      <c r="E29" s="145">
        <f>'Baseline Input Sheet'!E29</f>
        <v>12615986</v>
      </c>
      <c r="F29" s="36"/>
      <c r="G29" s="36"/>
      <c r="H29" s="36"/>
      <c r="I29" s="36"/>
      <c r="J29" s="29"/>
    </row>
    <row r="30" spans="2:10" ht="47.25">
      <c r="B30" s="120"/>
      <c r="C30" s="36"/>
      <c r="D30" s="99" t="s">
        <v>80</v>
      </c>
      <c r="E30" s="147">
        <v>410000</v>
      </c>
      <c r="F30" s="36"/>
      <c r="G30" s="36"/>
      <c r="H30" s="36"/>
      <c r="I30" s="36"/>
      <c r="J30" s="29"/>
    </row>
    <row r="31" spans="2:10" ht="15.75">
      <c r="B31" s="120"/>
      <c r="C31" s="36"/>
      <c r="D31" s="99" t="s">
        <v>75</v>
      </c>
      <c r="E31" s="147">
        <v>43000</v>
      </c>
      <c r="F31" s="36"/>
      <c r="G31" s="36"/>
      <c r="H31" s="36"/>
      <c r="I31" s="36"/>
      <c r="J31" s="29"/>
    </row>
    <row r="32" spans="2:10" ht="31.5">
      <c r="B32" s="120"/>
      <c r="C32" s="36"/>
      <c r="D32" s="99" t="s">
        <v>76</v>
      </c>
      <c r="E32" s="147">
        <v>25000</v>
      </c>
      <c r="F32" s="36"/>
      <c r="G32" s="36"/>
      <c r="H32" s="36"/>
      <c r="I32" s="36"/>
      <c r="J32" s="29"/>
    </row>
    <row r="33" spans="2:10" ht="13.5" thickBot="1">
      <c r="B33" s="121"/>
      <c r="C33" s="122"/>
      <c r="D33" s="122"/>
      <c r="E33" s="122"/>
      <c r="F33" s="122"/>
      <c r="G33" s="122"/>
      <c r="H33" s="122"/>
      <c r="I33" s="122"/>
      <c r="J33" s="123"/>
    </row>
  </sheetData>
  <phoneticPr fontId="0" type="noConversion"/>
  <printOptions horizontalCentered="1"/>
  <pageMargins left="0.75" right="0.75" top="1" bottom="1" header="0.5" footer="0.5"/>
  <pageSetup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3"/>
  <sheetViews>
    <sheetView topLeftCell="A11" zoomScale="85" workbookViewId="0">
      <selection activeCell="B2" sqref="B2:J33"/>
    </sheetView>
  </sheetViews>
  <sheetFormatPr defaultColWidth="8.6640625" defaultRowHeight="12.75"/>
  <cols>
    <col min="1" max="1" width="8.6640625" customWidth="1"/>
    <col min="2" max="2" width="2.83203125" customWidth="1"/>
    <col min="3" max="3" width="6.33203125" customWidth="1"/>
    <col min="4" max="4" width="27.33203125" customWidth="1"/>
    <col min="5" max="5" width="23" customWidth="1"/>
    <col min="6" max="6" width="2.83203125" customWidth="1"/>
    <col min="7" max="7" width="7.5" customWidth="1"/>
    <col min="8" max="8" width="13" customWidth="1"/>
    <col min="9" max="9" width="10.83203125" customWidth="1"/>
    <col min="10" max="10" width="2.83203125" customWidth="1"/>
    <col min="19" max="19" width="11.1640625" bestFit="1" customWidth="1"/>
  </cols>
  <sheetData>
    <row r="1" spans="1:11" ht="13.5" thickBot="1"/>
    <row r="2" spans="1:11" ht="24" thickBot="1">
      <c r="A2" s="150"/>
      <c r="B2" s="151" t="s">
        <v>66</v>
      </c>
      <c r="C2" s="152"/>
      <c r="D2" s="152"/>
      <c r="E2" s="152"/>
      <c r="F2" s="152"/>
      <c r="G2" s="152"/>
      <c r="H2" s="152"/>
      <c r="I2" s="152"/>
      <c r="J2" s="153"/>
      <c r="K2" s="154"/>
    </row>
    <row r="3" spans="1:11" ht="13.5" thickBot="1"/>
    <row r="4" spans="1:11" ht="15" customHeight="1" thickBot="1">
      <c r="B4" s="24"/>
      <c r="C4" s="48"/>
      <c r="D4" s="25"/>
      <c r="E4" s="25"/>
      <c r="F4" s="25"/>
      <c r="G4" s="25"/>
      <c r="H4" s="25"/>
      <c r="I4" s="25"/>
      <c r="J4" s="26"/>
    </row>
    <row r="5" spans="1:11" ht="15" customHeight="1">
      <c r="B5" s="27"/>
      <c r="C5" s="49"/>
      <c r="D5" s="90" t="s">
        <v>2</v>
      </c>
      <c r="E5" s="90"/>
      <c r="F5" s="28"/>
      <c r="G5" s="19" t="s">
        <v>3</v>
      </c>
      <c r="H5" s="54"/>
      <c r="I5" s="20"/>
      <c r="J5" s="29"/>
    </row>
    <row r="6" spans="1:11" ht="15" customHeight="1">
      <c r="B6" s="27"/>
      <c r="C6" s="49"/>
      <c r="D6" s="91" t="s">
        <v>4</v>
      </c>
      <c r="E6" s="83" t="s">
        <v>5</v>
      </c>
      <c r="F6" s="28"/>
      <c r="G6" s="2"/>
      <c r="H6" s="91" t="s">
        <v>6</v>
      </c>
      <c r="I6" s="91" t="s">
        <v>7</v>
      </c>
      <c r="J6" s="29"/>
    </row>
    <row r="7" spans="1:11" ht="15" customHeight="1">
      <c r="B7" s="27"/>
      <c r="C7" s="49"/>
      <c r="D7" s="3">
        <f>Baseline_Price</f>
        <v>1600000</v>
      </c>
      <c r="E7" s="92">
        <v>0</v>
      </c>
      <c r="F7" s="28"/>
      <c r="G7" s="2" t="s">
        <v>8</v>
      </c>
      <c r="H7" s="2">
        <v>0</v>
      </c>
      <c r="I7" s="2">
        <v>0</v>
      </c>
      <c r="J7" s="29"/>
    </row>
    <row r="8" spans="1:11" ht="15" customHeight="1">
      <c r="B8" s="27"/>
      <c r="C8" s="49"/>
      <c r="D8" s="22"/>
      <c r="E8" s="23"/>
      <c r="F8" s="28"/>
      <c r="G8" s="2" t="s">
        <v>9</v>
      </c>
      <c r="H8" s="2">
        <v>1</v>
      </c>
      <c r="I8" s="2">
        <v>1</v>
      </c>
      <c r="J8" s="29"/>
    </row>
    <row r="9" spans="1:11" ht="15" customHeight="1">
      <c r="B9" s="27"/>
      <c r="C9" s="93" t="s">
        <v>10</v>
      </c>
      <c r="D9" s="93"/>
      <c r="E9" s="95" t="s">
        <v>11</v>
      </c>
      <c r="F9" s="28"/>
      <c r="G9" s="2" t="s">
        <v>12</v>
      </c>
      <c r="H9" s="2">
        <v>2</v>
      </c>
      <c r="I9" s="2">
        <v>2</v>
      </c>
      <c r="J9" s="29"/>
    </row>
    <row r="10" spans="1:11" ht="15" customHeight="1">
      <c r="B10" s="27"/>
      <c r="C10" s="83" t="s">
        <v>13</v>
      </c>
      <c r="D10" s="83" t="s">
        <v>14</v>
      </c>
      <c r="E10" s="83" t="s">
        <v>15</v>
      </c>
      <c r="F10" s="28"/>
      <c r="G10" s="2" t="s">
        <v>16</v>
      </c>
      <c r="H10" s="2">
        <v>4</v>
      </c>
      <c r="I10" s="2">
        <v>4</v>
      </c>
      <c r="J10" s="29"/>
    </row>
    <row r="11" spans="1:11" ht="15" customHeight="1">
      <c r="B11" s="27"/>
      <c r="C11" s="94">
        <v>1</v>
      </c>
      <c r="D11" s="3">
        <f>Baseline_nonrecur*1.25</f>
        <v>18004230.75</v>
      </c>
      <c r="E11" s="3">
        <f>Baseline_Recurring*1.05</f>
        <v>757995</v>
      </c>
      <c r="F11" s="28"/>
      <c r="G11" s="2" t="s">
        <v>17</v>
      </c>
      <c r="H11" s="2">
        <v>6</v>
      </c>
      <c r="I11" s="2">
        <v>6</v>
      </c>
      <c r="J11" s="29"/>
    </row>
    <row r="12" spans="1:11" ht="15" customHeight="1">
      <c r="B12" s="27"/>
      <c r="C12" s="94">
        <v>2</v>
      </c>
      <c r="D12" s="3">
        <f>Baseline_nonrecur2*1.25</f>
        <v>3600846.1500000004</v>
      </c>
      <c r="E12" s="28"/>
      <c r="F12" s="28"/>
      <c r="G12" s="2" t="s">
        <v>18</v>
      </c>
      <c r="H12" s="2">
        <v>8</v>
      </c>
      <c r="I12" s="2">
        <v>8</v>
      </c>
      <c r="J12" s="29"/>
    </row>
    <row r="13" spans="1:11" ht="15" customHeight="1">
      <c r="B13" s="27"/>
      <c r="C13" s="94">
        <v>3</v>
      </c>
      <c r="D13" s="3">
        <f>Baseline_nonrecur3*1.25</f>
        <v>1800423.0750000002</v>
      </c>
      <c r="E13" s="28"/>
      <c r="F13" s="28"/>
      <c r="G13" s="2" t="s">
        <v>19</v>
      </c>
      <c r="H13" s="2">
        <v>10</v>
      </c>
      <c r="I13" s="2">
        <v>10</v>
      </c>
      <c r="J13" s="29"/>
    </row>
    <row r="14" spans="1:11" ht="15" customHeight="1">
      <c r="B14" s="27"/>
      <c r="C14" s="94">
        <v>4</v>
      </c>
      <c r="D14" s="3">
        <f>Baseline_nonrecur4*1.25</f>
        <v>1800423.0750000002</v>
      </c>
      <c r="E14" s="28"/>
      <c r="F14" s="28"/>
      <c r="G14" s="2" t="s">
        <v>20</v>
      </c>
      <c r="H14" s="2">
        <v>15</v>
      </c>
      <c r="I14" s="2">
        <v>15</v>
      </c>
      <c r="J14" s="29"/>
    </row>
    <row r="15" spans="1:11" ht="15" customHeight="1">
      <c r="B15" s="27"/>
      <c r="C15" s="94">
        <v>5</v>
      </c>
      <c r="D15" s="3">
        <f>Baseline_nonrecur5*1.25</f>
        <v>1800423.0750000002</v>
      </c>
      <c r="E15" s="28"/>
      <c r="F15" s="28"/>
      <c r="G15" s="2" t="s">
        <v>21</v>
      </c>
      <c r="H15" s="2">
        <v>20</v>
      </c>
      <c r="I15" s="2">
        <v>20</v>
      </c>
      <c r="J15" s="29"/>
    </row>
    <row r="16" spans="1:11" ht="15" customHeight="1">
      <c r="B16" s="27"/>
      <c r="C16" s="94">
        <v>6</v>
      </c>
      <c r="D16" s="3">
        <f>Baseline_nonrecur6*1.25</f>
        <v>1800423.0750000002</v>
      </c>
      <c r="E16" s="28"/>
      <c r="F16" s="28"/>
      <c r="G16" s="2" t="s">
        <v>22</v>
      </c>
      <c r="H16" s="2">
        <v>25</v>
      </c>
      <c r="I16" s="2">
        <v>25</v>
      </c>
      <c r="J16" s="29"/>
    </row>
    <row r="17" spans="2:10" ht="15" customHeight="1">
      <c r="B17" s="27"/>
      <c r="C17" s="49"/>
      <c r="D17" s="28"/>
      <c r="E17" s="28"/>
      <c r="F17" s="28"/>
      <c r="G17" s="36"/>
      <c r="H17" s="102">
        <f>SUM(H7:H16)</f>
        <v>91</v>
      </c>
      <c r="I17" s="36"/>
      <c r="J17" s="29"/>
    </row>
    <row r="18" spans="2:10" ht="15" customHeight="1">
      <c r="B18" s="27"/>
      <c r="C18" s="49"/>
      <c r="D18" s="90" t="s">
        <v>23</v>
      </c>
      <c r="E18" s="90"/>
      <c r="F18" s="28"/>
      <c r="G18" s="36"/>
      <c r="H18" s="36"/>
      <c r="I18" s="36"/>
      <c r="J18" s="29"/>
    </row>
    <row r="19" spans="2:10" ht="15" customHeight="1">
      <c r="B19" s="27"/>
      <c r="C19" s="49"/>
      <c r="D19" s="96" t="s">
        <v>24</v>
      </c>
      <c r="E19" s="97">
        <f>SUM(D11:D16)</f>
        <v>28806769.199999996</v>
      </c>
      <c r="F19" s="28"/>
      <c r="G19" s="36"/>
      <c r="H19" s="36"/>
      <c r="I19" s="36"/>
      <c r="J19" s="29"/>
    </row>
    <row r="20" spans="2:10" ht="15" customHeight="1">
      <c r="B20" s="27"/>
      <c r="C20" s="49"/>
      <c r="D20" s="96" t="s">
        <v>2</v>
      </c>
      <c r="E20" s="97">
        <f>'Worse Option Calculation S'!D12</f>
        <v>145600000</v>
      </c>
      <c r="F20" s="28"/>
      <c r="G20" s="36"/>
      <c r="H20" s="36"/>
      <c r="I20" s="36"/>
      <c r="J20" s="29"/>
    </row>
    <row r="21" spans="2:10" ht="15" customHeight="1">
      <c r="B21" s="27"/>
      <c r="C21" s="49"/>
      <c r="D21" s="96" t="s">
        <v>11</v>
      </c>
      <c r="E21" s="98">
        <f>'Worse Option Calculation S'!E12-'Worse Option Input Sheet'!E19</f>
        <v>68977545</v>
      </c>
      <c r="F21" s="28"/>
      <c r="G21" s="36"/>
      <c r="H21" s="36"/>
      <c r="I21" s="36"/>
      <c r="J21" s="29"/>
    </row>
    <row r="22" spans="2:10" ht="15" customHeight="1">
      <c r="B22" s="27"/>
      <c r="C22" s="49"/>
      <c r="D22" s="99" t="s">
        <v>25</v>
      </c>
      <c r="E22" s="100">
        <f>'Worse Option Calculation S'!F12</f>
        <v>47815685.800000004</v>
      </c>
      <c r="F22" s="36"/>
      <c r="G22" s="36"/>
      <c r="H22" s="36"/>
      <c r="I22" s="36"/>
      <c r="J22" s="29"/>
    </row>
    <row r="23" spans="2:10" ht="15" customHeight="1">
      <c r="B23" s="27"/>
      <c r="C23" s="49"/>
      <c r="D23" s="90" t="s">
        <v>26</v>
      </c>
      <c r="E23" s="90"/>
      <c r="F23" s="36"/>
      <c r="G23" s="36"/>
      <c r="H23" s="36"/>
      <c r="I23" s="36"/>
      <c r="J23" s="29"/>
    </row>
    <row r="24" spans="2:10" ht="15" customHeight="1">
      <c r="B24" s="27"/>
      <c r="C24" s="49"/>
      <c r="D24" s="99" t="s">
        <v>27</v>
      </c>
      <c r="E24" s="100">
        <f>'Worse Option Calculation S'!Option_NPV</f>
        <v>4729613.9339695387</v>
      </c>
      <c r="F24" s="36"/>
      <c r="G24" s="36"/>
      <c r="H24" s="36"/>
      <c r="I24" s="36"/>
      <c r="J24" s="29"/>
    </row>
    <row r="25" spans="2:10" ht="15" customHeight="1">
      <c r="B25" s="27"/>
      <c r="C25" s="49"/>
      <c r="D25" s="155" t="s">
        <v>28</v>
      </c>
      <c r="E25" s="101">
        <f>'Worse Option Calculation S'!Option_IRR</f>
        <v>0.18566940421080383</v>
      </c>
      <c r="F25" s="36"/>
      <c r="G25" s="36"/>
      <c r="H25" s="36"/>
      <c r="I25" s="36"/>
      <c r="J25" s="29"/>
    </row>
    <row r="26" spans="2:10" ht="15" customHeight="1">
      <c r="B26" s="27"/>
      <c r="C26" s="49"/>
      <c r="D26" s="36"/>
      <c r="E26" s="36"/>
      <c r="F26" s="36"/>
      <c r="G26" s="36"/>
      <c r="H26" s="36"/>
      <c r="I26" s="36"/>
      <c r="J26" s="29"/>
    </row>
    <row r="27" spans="2:10">
      <c r="B27" s="120"/>
      <c r="C27" s="36"/>
      <c r="D27" s="36"/>
      <c r="E27" s="36"/>
      <c r="F27" s="36"/>
      <c r="G27" s="36"/>
      <c r="H27" s="36"/>
      <c r="I27" s="36"/>
      <c r="J27" s="29"/>
    </row>
    <row r="28" spans="2:10" ht="15.75">
      <c r="B28" s="120"/>
      <c r="C28" s="36"/>
      <c r="D28" s="118" t="s">
        <v>59</v>
      </c>
      <c r="E28" s="119">
        <v>0.15</v>
      </c>
      <c r="F28" s="36"/>
      <c r="G28" s="36"/>
      <c r="H28" s="36"/>
      <c r="I28" s="36"/>
      <c r="J28" s="29"/>
    </row>
    <row r="29" spans="2:10" ht="31.5">
      <c r="B29" s="120"/>
      <c r="C29" s="36"/>
      <c r="D29" s="99" t="s">
        <v>70</v>
      </c>
      <c r="E29" s="145">
        <f>'Baseline Input Sheet'!E29</f>
        <v>12615986</v>
      </c>
      <c r="F29" s="36"/>
      <c r="G29" s="36"/>
      <c r="H29" s="36"/>
      <c r="I29" s="36"/>
      <c r="J29" s="29"/>
    </row>
    <row r="30" spans="2:10" ht="47.25">
      <c r="B30" s="120"/>
      <c r="C30" s="36"/>
      <c r="D30" s="99" t="s">
        <v>81</v>
      </c>
      <c r="E30" s="147">
        <v>410000</v>
      </c>
      <c r="F30" s="36"/>
      <c r="G30" s="36"/>
      <c r="H30" s="36"/>
      <c r="I30" s="36"/>
      <c r="J30" s="29"/>
    </row>
    <row r="31" spans="2:10" ht="15.75">
      <c r="B31" s="120"/>
      <c r="C31" s="36"/>
      <c r="D31" s="99" t="s">
        <v>75</v>
      </c>
      <c r="E31" s="147">
        <v>43000</v>
      </c>
      <c r="F31" s="36"/>
      <c r="G31" s="36"/>
      <c r="H31" s="36"/>
      <c r="I31" s="36"/>
      <c r="J31" s="29"/>
    </row>
    <row r="32" spans="2:10" ht="31.5">
      <c r="B32" s="120"/>
      <c r="C32" s="36"/>
      <c r="D32" s="99" t="s">
        <v>76</v>
      </c>
      <c r="E32" s="147">
        <v>25000</v>
      </c>
      <c r="F32" s="36"/>
      <c r="G32" s="36"/>
      <c r="H32" s="36"/>
      <c r="I32" s="36"/>
      <c r="J32" s="29"/>
    </row>
    <row r="33" spans="2:10" ht="13.5" thickBot="1">
      <c r="B33" s="121"/>
      <c r="C33" s="122"/>
      <c r="D33" s="122"/>
      <c r="E33" s="122"/>
      <c r="F33" s="122"/>
      <c r="G33" s="122"/>
      <c r="H33" s="122"/>
      <c r="I33" s="122"/>
      <c r="J33" s="123"/>
    </row>
  </sheetData>
  <phoneticPr fontId="0" type="noConversion"/>
  <printOptions horizontalCentered="1"/>
  <pageMargins left="0.75" right="0.75" top="1" bottom="1" header="0.5" footer="0.5"/>
  <pageSetup scale="9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H28"/>
  <sheetViews>
    <sheetView zoomScale="75" workbookViewId="0">
      <selection sqref="A1:H17"/>
    </sheetView>
  </sheetViews>
  <sheetFormatPr defaultColWidth="8.6640625" defaultRowHeight="12.75"/>
  <cols>
    <col min="1" max="1" width="25.5" customWidth="1"/>
    <col min="2" max="2" width="11" customWidth="1"/>
    <col min="3" max="3" width="42.33203125" style="32" customWidth="1"/>
    <col min="4" max="4" width="23.5" customWidth="1"/>
    <col min="5" max="5" width="25.33203125" customWidth="1"/>
    <col min="6" max="6" width="22.83203125" customWidth="1"/>
    <col min="7" max="8" width="20.83203125" customWidth="1"/>
    <col min="9" max="9" width="20.33203125" bestFit="1" customWidth="1"/>
    <col min="10" max="11" width="21.6640625" bestFit="1" customWidth="1"/>
    <col min="12" max="12" width="20.33203125" bestFit="1" customWidth="1"/>
    <col min="13" max="13" width="21.6640625" bestFit="1" customWidth="1"/>
    <col min="14" max="18" width="20.33203125" bestFit="1" customWidth="1"/>
    <col min="19" max="33" width="20.83203125" bestFit="1" customWidth="1"/>
    <col min="34" max="34" width="21.6640625" customWidth="1"/>
  </cols>
  <sheetData>
    <row r="1" spans="1:16" ht="30.75" customHeight="1">
      <c r="A1" s="72" t="s">
        <v>29</v>
      </c>
      <c r="B1" s="74" t="s">
        <v>13</v>
      </c>
      <c r="C1" s="73"/>
      <c r="D1" s="74" t="s">
        <v>64</v>
      </c>
      <c r="E1" s="74" t="s">
        <v>65</v>
      </c>
      <c r="F1" s="74" t="s">
        <v>32</v>
      </c>
      <c r="G1" s="75" t="s">
        <v>33</v>
      </c>
      <c r="H1" s="76" t="s">
        <v>34</v>
      </c>
      <c r="I1" s="1"/>
      <c r="J1" s="1"/>
      <c r="M1" s="74" t="s">
        <v>61</v>
      </c>
      <c r="N1" s="74" t="s">
        <v>62</v>
      </c>
      <c r="P1" s="74" t="s">
        <v>63</v>
      </c>
    </row>
    <row r="2" spans="1:16" ht="15.75">
      <c r="A2" s="11" t="s">
        <v>35</v>
      </c>
      <c r="B2" s="5">
        <v>0</v>
      </c>
      <c r="C2" s="30"/>
      <c r="D2" s="3">
        <f>('Baseline Input Sheet'!I7*Baseline_Price)*(1-Baseline_Concessions)</f>
        <v>0</v>
      </c>
      <c r="E2" s="3">
        <f>'Baseline Input Sheet'!D11+('Baseline Input Sheet'!H7*Baseline_Recurring)</f>
        <v>14403384.600000001</v>
      </c>
      <c r="F2" s="3">
        <f t="shared" ref="F2:F11" si="0">D2-E2</f>
        <v>-14403384.600000001</v>
      </c>
      <c r="G2" s="4">
        <f t="shared" ref="G2:G11" si="1">1/(1+$H$16)^B2</f>
        <v>1</v>
      </c>
      <c r="H2" s="41">
        <f t="shared" ref="H2:H11" si="2">F2*G2</f>
        <v>-14403384.600000001</v>
      </c>
      <c r="J2" s="113">
        <f>H2</f>
        <v>-14403384.600000001</v>
      </c>
      <c r="M2" s="113">
        <f>D2*G2</f>
        <v>0</v>
      </c>
      <c r="N2" s="113">
        <f>E2*G2</f>
        <v>14403384.600000001</v>
      </c>
    </row>
    <row r="3" spans="1:16" ht="15.75">
      <c r="A3" s="11" t="s">
        <v>36</v>
      </c>
      <c r="B3" s="2">
        <v>1</v>
      </c>
      <c r="C3" s="31"/>
      <c r="D3" s="3">
        <f>('Baseline Input Sheet'!I8*Baseline_Price)*(1-Baseline_Concessions)</f>
        <v>1600000</v>
      </c>
      <c r="E3" s="3">
        <f>'Baseline Input Sheet'!D12+('Baseline Input Sheet'!H8*Baseline_Recurring)</f>
        <v>3602576.9200000004</v>
      </c>
      <c r="F3" s="3">
        <f t="shared" si="0"/>
        <v>-2002576.9200000004</v>
      </c>
      <c r="G3" s="4">
        <f t="shared" si="1"/>
        <v>0.90909090909090906</v>
      </c>
      <c r="H3" s="41">
        <f t="shared" si="2"/>
        <v>-1820524.4727272731</v>
      </c>
      <c r="J3" s="113">
        <f>H3+J2</f>
        <v>-16223909.072727274</v>
      </c>
      <c r="M3" s="113">
        <f t="shared" ref="M3:M11" si="3">D3*G3</f>
        <v>1454545.4545454546</v>
      </c>
      <c r="N3" s="113">
        <f t="shared" ref="N3:N11" si="4">E3*G3</f>
        <v>3275069.9272727277</v>
      </c>
    </row>
    <row r="4" spans="1:16" ht="15.75">
      <c r="A4" s="11" t="s">
        <v>37</v>
      </c>
      <c r="B4" s="2">
        <v>2</v>
      </c>
      <c r="C4" s="33"/>
      <c r="D4" s="3">
        <f>('Baseline Input Sheet'!I9*Baseline_Price)*(1-Baseline_Concessions)</f>
        <v>3200000</v>
      </c>
      <c r="E4" s="3">
        <f>'Baseline Input Sheet'!D13+('Baseline Input Sheet'!H9*Baseline_Recurring)</f>
        <v>2884138.46</v>
      </c>
      <c r="F4" s="3">
        <f t="shared" si="0"/>
        <v>315861.54000000004</v>
      </c>
      <c r="G4" s="4">
        <f t="shared" si="1"/>
        <v>0.82644628099173545</v>
      </c>
      <c r="H4" s="41">
        <f t="shared" si="2"/>
        <v>261042.59504132232</v>
      </c>
      <c r="J4" s="113">
        <f t="shared" ref="J4:J11" si="5">H4+J3</f>
        <v>-15962866.477685953</v>
      </c>
      <c r="M4" s="113">
        <f t="shared" si="3"/>
        <v>2644628.0991735533</v>
      </c>
      <c r="N4" s="113">
        <f t="shared" si="4"/>
        <v>2383585.5041322312</v>
      </c>
    </row>
    <row r="5" spans="1:16" ht="15.75">
      <c r="A5" s="11" t="s">
        <v>38</v>
      </c>
      <c r="B5" s="2">
        <v>3</v>
      </c>
      <c r="C5" s="30"/>
      <c r="D5" s="3">
        <f>('Baseline Input Sheet'!I10*Baseline_Price)*(1-Baseline_Concessions)</f>
        <v>6400000</v>
      </c>
      <c r="E5" s="3">
        <f>'Baseline Input Sheet'!D14+('Baseline Input Sheet'!H10*Baseline_Recurring)</f>
        <v>4327938.46</v>
      </c>
      <c r="F5" s="3">
        <f t="shared" si="0"/>
        <v>2072061.54</v>
      </c>
      <c r="G5" s="4">
        <f t="shared" si="1"/>
        <v>0.75131480090157754</v>
      </c>
      <c r="H5" s="41">
        <f t="shared" si="2"/>
        <v>1556770.5033809161</v>
      </c>
      <c r="J5" s="113">
        <f t="shared" si="5"/>
        <v>-14406095.974305037</v>
      </c>
      <c r="M5" s="113">
        <f t="shared" si="3"/>
        <v>4808414.7257700963</v>
      </c>
      <c r="N5" s="113">
        <f t="shared" si="4"/>
        <v>3251644.2223891802</v>
      </c>
    </row>
    <row r="6" spans="1:16" ht="15.75">
      <c r="A6" s="11" t="s">
        <v>39</v>
      </c>
      <c r="B6" s="2">
        <v>4</v>
      </c>
      <c r="C6" s="33"/>
      <c r="D6" s="3">
        <f>('Baseline Input Sheet'!I11*Baseline_Price)*(1-Baseline_Concessions)</f>
        <v>9600000</v>
      </c>
      <c r="E6" s="3">
        <f>'Baseline Input Sheet'!D15+('Baseline Input Sheet'!H11*Baseline_Recurring)</f>
        <v>5771738.46</v>
      </c>
      <c r="F6" s="3">
        <f t="shared" si="0"/>
        <v>3828261.54</v>
      </c>
      <c r="G6" s="4">
        <f t="shared" si="1"/>
        <v>0.68301345536507052</v>
      </c>
      <c r="H6" s="41">
        <f t="shared" si="2"/>
        <v>2614754.1424766062</v>
      </c>
      <c r="J6" s="113">
        <f t="shared" si="5"/>
        <v>-11791341.83182843</v>
      </c>
      <c r="M6" s="113">
        <f t="shared" si="3"/>
        <v>6556929.1715046773</v>
      </c>
      <c r="N6" s="113">
        <f t="shared" si="4"/>
        <v>3942175.0290280706</v>
      </c>
    </row>
    <row r="7" spans="1:16" ht="15.75">
      <c r="A7" s="11" t="s">
        <v>40</v>
      </c>
      <c r="B7" s="2">
        <v>5</v>
      </c>
      <c r="C7" s="30"/>
      <c r="D7" s="3">
        <f>('Baseline Input Sheet'!I12*Baseline_Price)*(1-Baseline_Concessions)</f>
        <v>12800000</v>
      </c>
      <c r="E7" s="3">
        <f>'Baseline Input Sheet'!D16+('Baseline Input Sheet'!H12*Baseline_Recurring)</f>
        <v>7215538.46</v>
      </c>
      <c r="F7" s="3">
        <f t="shared" si="0"/>
        <v>5584461.54</v>
      </c>
      <c r="G7" s="4">
        <f t="shared" si="1"/>
        <v>0.62092132305915493</v>
      </c>
      <c r="H7" s="41">
        <f t="shared" si="2"/>
        <v>3467511.2479897658</v>
      </c>
      <c r="J7" s="113">
        <f t="shared" si="5"/>
        <v>-8323830.583838664</v>
      </c>
      <c r="M7" s="113">
        <f t="shared" si="3"/>
        <v>7947792.9351571826</v>
      </c>
      <c r="N7" s="113">
        <f t="shared" si="4"/>
        <v>4480281.6871674173</v>
      </c>
    </row>
    <row r="8" spans="1:16" ht="15.75">
      <c r="A8" s="11" t="s">
        <v>41</v>
      </c>
      <c r="B8" s="2">
        <v>6</v>
      </c>
      <c r="C8" s="33"/>
      <c r="D8" s="3">
        <f>('Baseline Input Sheet'!I13*Baseline_Price)*(1-Baseline_Concessions)</f>
        <v>16000000</v>
      </c>
      <c r="E8" s="3">
        <f>('Baseline Input Sheet'!H13*Baseline_Recurring)</f>
        <v>7219000</v>
      </c>
      <c r="F8" s="3">
        <f t="shared" si="0"/>
        <v>8781000</v>
      </c>
      <c r="G8" s="4">
        <f t="shared" si="1"/>
        <v>0.56447393005377722</v>
      </c>
      <c r="H8" s="41">
        <f t="shared" si="2"/>
        <v>4956645.5798022179</v>
      </c>
      <c r="J8" s="113">
        <f t="shared" si="5"/>
        <v>-3367185.0040364461</v>
      </c>
      <c r="M8" s="113">
        <f t="shared" si="3"/>
        <v>9031582.8808604348</v>
      </c>
      <c r="N8" s="113">
        <f t="shared" si="4"/>
        <v>4074937.3010582179</v>
      </c>
    </row>
    <row r="9" spans="1:16" ht="15.75">
      <c r="A9" s="11" t="s">
        <v>42</v>
      </c>
      <c r="B9" s="2">
        <v>7</v>
      </c>
      <c r="C9" s="30"/>
      <c r="D9" s="3">
        <f>('Baseline Input Sheet'!I14*Baseline_Price)*(1-Baseline_Concessions)</f>
        <v>24000000</v>
      </c>
      <c r="E9" s="3">
        <f>('Baseline Input Sheet'!H14*Baseline_Recurring)</f>
        <v>10828500</v>
      </c>
      <c r="F9" s="3">
        <f t="shared" si="0"/>
        <v>13171500</v>
      </c>
      <c r="G9" s="4">
        <f t="shared" si="1"/>
        <v>0.51315811823070645</v>
      </c>
      <c r="H9" s="41">
        <f t="shared" si="2"/>
        <v>6759062.1542757498</v>
      </c>
      <c r="J9" s="113">
        <f t="shared" si="5"/>
        <v>3391877.1502393037</v>
      </c>
      <c r="M9" s="113">
        <f t="shared" si="3"/>
        <v>12315794.837536955</v>
      </c>
      <c r="N9" s="113">
        <f t="shared" si="4"/>
        <v>5556732.6832612045</v>
      </c>
    </row>
    <row r="10" spans="1:16" ht="15.75">
      <c r="A10" s="11" t="s">
        <v>43</v>
      </c>
      <c r="B10" s="2">
        <v>8</v>
      </c>
      <c r="C10" s="33"/>
      <c r="D10" s="3">
        <f>('Baseline Input Sheet'!I15*Baseline_Price)*(1-Baseline_Concessions)</f>
        <v>32000000</v>
      </c>
      <c r="E10" s="3">
        <f>('Baseline Input Sheet'!H15*Baseline_Recurring)</f>
        <v>14438000</v>
      </c>
      <c r="F10" s="3">
        <f t="shared" si="0"/>
        <v>17562000</v>
      </c>
      <c r="G10" s="4">
        <f t="shared" si="1"/>
        <v>0.46650738020973315</v>
      </c>
      <c r="H10" s="41">
        <f t="shared" si="2"/>
        <v>8192802.6112433337</v>
      </c>
      <c r="J10" s="113">
        <f t="shared" si="5"/>
        <v>11584679.761482637</v>
      </c>
      <c r="M10" s="113">
        <f t="shared" si="3"/>
        <v>14928236.166711461</v>
      </c>
      <c r="N10" s="113">
        <f t="shared" si="4"/>
        <v>6735433.5554681271</v>
      </c>
    </row>
    <row r="11" spans="1:16" ht="16.5" thickBot="1">
      <c r="A11" s="11" t="s">
        <v>44</v>
      </c>
      <c r="B11" s="2">
        <v>9</v>
      </c>
      <c r="C11" s="30"/>
      <c r="D11" s="3">
        <f>('Baseline Input Sheet'!I16*Baseline_Price)*(1-Baseline_Concessions)</f>
        <v>40000000</v>
      </c>
      <c r="E11" s="3">
        <f>('Baseline Input Sheet'!H16*Baseline_Recurring)</f>
        <v>18047500</v>
      </c>
      <c r="F11" s="3">
        <f t="shared" si="0"/>
        <v>21952500</v>
      </c>
      <c r="G11" s="4">
        <f t="shared" si="1"/>
        <v>0.42409761837248466</v>
      </c>
      <c r="H11" s="41">
        <f t="shared" si="2"/>
        <v>9310002.9673219696</v>
      </c>
      <c r="J11" s="113">
        <f t="shared" si="5"/>
        <v>20894682.728804607</v>
      </c>
      <c r="M11" s="113">
        <f t="shared" si="3"/>
        <v>16963904.734899387</v>
      </c>
      <c r="N11" s="113">
        <f t="shared" si="4"/>
        <v>7653901.7675774172</v>
      </c>
    </row>
    <row r="12" spans="1:16" ht="16.5" thickBot="1">
      <c r="A12" s="42"/>
      <c r="B12" s="47" t="s">
        <v>45</v>
      </c>
      <c r="C12" s="43" t="s">
        <v>45</v>
      </c>
      <c r="D12" s="44">
        <f>SUM(D1:D11)</f>
        <v>145600000</v>
      </c>
      <c r="E12" s="45">
        <f>SUM(E1:E11)</f>
        <v>88738315.360000014</v>
      </c>
      <c r="F12" s="46">
        <f>SUM(F1:F11)</f>
        <v>56861684.640000001</v>
      </c>
      <c r="H12" s="46">
        <f>SUM(H1:H11)</f>
        <v>20894682.728804607</v>
      </c>
      <c r="J12" s="113"/>
      <c r="M12" s="113">
        <f>SUM(M2:M11)</f>
        <v>76651829.006159201</v>
      </c>
      <c r="N12" s="113">
        <f>SUM(N2:N11)</f>
        <v>55757146.277354591</v>
      </c>
      <c r="P12" s="138">
        <f>((M12/N12)-1)*100</f>
        <v>37.474447893849351</v>
      </c>
    </row>
    <row r="14" spans="1:16" ht="13.5" thickBot="1"/>
    <row r="15" spans="1:16" ht="15.75">
      <c r="C15" s="142"/>
      <c r="E15" s="10"/>
      <c r="F15" s="14"/>
      <c r="G15" s="79" t="s">
        <v>46</v>
      </c>
      <c r="H15" s="18">
        <f>SUM(H2:H11)</f>
        <v>20894682.728804607</v>
      </c>
      <c r="I15" s="8"/>
    </row>
    <row r="16" spans="1:16" ht="15.75">
      <c r="C16"/>
      <c r="E16" s="10"/>
      <c r="F16" s="11"/>
      <c r="G16" s="80" t="s">
        <v>47</v>
      </c>
      <c r="H16" s="17">
        <f>'Baseline Input Sheet'!$E$28</f>
        <v>0.1</v>
      </c>
      <c r="I16" s="8"/>
    </row>
    <row r="17" spans="1:34" ht="16.5" thickBot="1">
      <c r="C17"/>
      <c r="E17" s="7"/>
      <c r="F17" s="12"/>
      <c r="G17" s="15" t="s">
        <v>48</v>
      </c>
      <c r="H17" s="13">
        <f>IRR(F2:F11,H16)</f>
        <v>0.24526239529625765</v>
      </c>
    </row>
    <row r="18" spans="1:34">
      <c r="C18"/>
    </row>
    <row r="20" spans="1:34" ht="13.5" thickBot="1"/>
    <row r="21" spans="1:34" s="7" customFormat="1" ht="15.75">
      <c r="A21" s="125"/>
      <c r="B21" s="126"/>
      <c r="C21" s="127" t="s">
        <v>49</v>
      </c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</row>
    <row r="22" spans="1:34" s="7" customFormat="1" ht="15.75">
      <c r="A22" s="129"/>
      <c r="B22" s="6"/>
      <c r="C22" s="34"/>
      <c r="D22" s="6" t="str">
        <f>"Yr "&amp;B2</f>
        <v>Yr 0</v>
      </c>
      <c r="E22" s="6" t="str">
        <f>"Yr "&amp;B3</f>
        <v>Yr 1</v>
      </c>
      <c r="F22" s="6" t="str">
        <f>"Yr "&amp;B4</f>
        <v>Yr 2</v>
      </c>
      <c r="G22" s="6" t="str">
        <f>"Yr "&amp;B5</f>
        <v>Yr 3</v>
      </c>
      <c r="H22" s="6" t="str">
        <f>"Yr "&amp;B6</f>
        <v>Yr 4</v>
      </c>
      <c r="I22" s="6" t="str">
        <f>"Yr "&amp;B7</f>
        <v>Yr 5</v>
      </c>
      <c r="J22" s="6" t="str">
        <f>"Yr "&amp;B8</f>
        <v>Yr 6</v>
      </c>
      <c r="K22" s="6" t="str">
        <f>"Yr "&amp;B9</f>
        <v>Yr 7</v>
      </c>
      <c r="L22" s="6" t="str">
        <f>"Yr "&amp;B10</f>
        <v>Yr 8</v>
      </c>
      <c r="M22" s="6" t="str">
        <f>"Yr "&amp;B11</f>
        <v>Yr 9</v>
      </c>
      <c r="N22" s="6"/>
      <c r="O22" s="6"/>
      <c r="P22" s="6"/>
      <c r="Q22" s="6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</row>
    <row r="23" spans="1:34" s="7" customFormat="1" ht="15.75">
      <c r="A23" s="129"/>
      <c r="B23" s="9"/>
      <c r="C23" s="131" t="s">
        <v>50</v>
      </c>
      <c r="D23" s="10">
        <f>F2</f>
        <v>-14403384.600000001</v>
      </c>
      <c r="E23" s="10">
        <f>F3</f>
        <v>-2002576.9200000004</v>
      </c>
      <c r="F23" s="10">
        <f>F4</f>
        <v>315861.54000000004</v>
      </c>
      <c r="G23" s="10">
        <f>F5</f>
        <v>2072061.54</v>
      </c>
      <c r="H23" s="10">
        <f>F6</f>
        <v>3828261.54</v>
      </c>
      <c r="I23" s="10">
        <f>F7</f>
        <v>5584461.54</v>
      </c>
      <c r="J23" s="10">
        <f>F8</f>
        <v>8781000</v>
      </c>
      <c r="K23" s="10">
        <f>F9</f>
        <v>13171500</v>
      </c>
      <c r="L23" s="10">
        <f>F10</f>
        <v>17562000</v>
      </c>
      <c r="M23" s="10">
        <f>F11</f>
        <v>21952500</v>
      </c>
      <c r="N23" s="10"/>
      <c r="O23" s="10"/>
      <c r="P23" s="10"/>
      <c r="Q23" s="10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</row>
    <row r="24" spans="1:34" s="7" customFormat="1" ht="15.75">
      <c r="A24" s="129"/>
      <c r="B24" s="10">
        <f>F24+B23</f>
        <v>-16090099.98</v>
      </c>
      <c r="C24" s="131" t="s">
        <v>51</v>
      </c>
      <c r="D24" s="10">
        <f>D23</f>
        <v>-14403384.600000001</v>
      </c>
      <c r="E24" s="10">
        <f>D24+E23</f>
        <v>-16405961.520000001</v>
      </c>
      <c r="F24" s="10">
        <f t="shared" ref="F24:M24" si="6">E24+F23</f>
        <v>-16090099.98</v>
      </c>
      <c r="G24" s="10">
        <f>B24+G23</f>
        <v>-14018038.440000001</v>
      </c>
      <c r="H24" s="10">
        <f t="shared" si="6"/>
        <v>-10189776.900000002</v>
      </c>
      <c r="I24" s="10">
        <f t="shared" si="6"/>
        <v>-4605315.3600000022</v>
      </c>
      <c r="J24" s="10">
        <f t="shared" si="6"/>
        <v>4175684.6399999978</v>
      </c>
      <c r="K24" s="10">
        <f t="shared" si="6"/>
        <v>17347184.639999997</v>
      </c>
      <c r="L24" s="10">
        <f t="shared" si="6"/>
        <v>34909184.640000001</v>
      </c>
      <c r="M24" s="10">
        <f t="shared" si="6"/>
        <v>56861684.640000001</v>
      </c>
      <c r="N24" s="10"/>
      <c r="O24" s="10"/>
      <c r="P24" s="10"/>
      <c r="Q24" s="10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</row>
    <row r="25" spans="1:34" s="7" customFormat="1" ht="16.5" thickBot="1">
      <c r="A25" s="133"/>
      <c r="B25" s="134"/>
      <c r="C25" s="135" t="s">
        <v>52</v>
      </c>
      <c r="D25" s="136">
        <f>J2</f>
        <v>-14403384.600000001</v>
      </c>
      <c r="E25" s="136">
        <f>J3</f>
        <v>-16223909.072727274</v>
      </c>
      <c r="F25" s="136">
        <f>J4</f>
        <v>-15962866.477685953</v>
      </c>
      <c r="G25" s="136">
        <f>J5</f>
        <v>-14406095.974305037</v>
      </c>
      <c r="H25" s="136">
        <f>J6</f>
        <v>-11791341.83182843</v>
      </c>
      <c r="I25" s="136">
        <f>J7</f>
        <v>-8323830.583838664</v>
      </c>
      <c r="J25" s="136">
        <f>J8</f>
        <v>-3367185.0040364461</v>
      </c>
      <c r="K25" s="136">
        <f>J9</f>
        <v>3391877.1502393037</v>
      </c>
      <c r="L25" s="136">
        <f>J10</f>
        <v>11584679.761482637</v>
      </c>
      <c r="M25" s="136">
        <f>J11</f>
        <v>20894682.728804607</v>
      </c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7"/>
    </row>
    <row r="28" spans="1:34">
      <c r="K28" s="113"/>
      <c r="M28" s="113"/>
    </row>
  </sheetData>
  <phoneticPr fontId="0" type="noConversion"/>
  <printOptions horizontalCentered="1" verticalCentered="1"/>
  <pageMargins left="0.75" right="0.75" top="1" bottom="1" header="0.5" footer="0.5"/>
  <pageSetup orientation="landscape" horizontalDpi="300" verticalDpi="300" r:id="rId1"/>
  <headerFooter alignWithMargins="0">
    <oddHeader>&amp;C&amp;16&amp;A</oddHeader>
    <oddFooter>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28"/>
  <sheetViews>
    <sheetView zoomScale="85" zoomScaleNormal="85" workbookViewId="0">
      <selection sqref="A1:H16"/>
    </sheetView>
  </sheetViews>
  <sheetFormatPr defaultColWidth="8.6640625" defaultRowHeight="15.75"/>
  <cols>
    <col min="1" max="1" width="20.6640625" customWidth="1"/>
    <col min="2" max="2" width="6.5" style="109" hidden="1" customWidth="1"/>
    <col min="3" max="3" width="6" style="65" customWidth="1"/>
    <col min="4" max="4" width="24.1640625" customWidth="1"/>
    <col min="5" max="5" width="24.33203125" customWidth="1"/>
    <col min="6" max="6" width="17.83203125" bestFit="1" customWidth="1"/>
    <col min="7" max="7" width="36.5" customWidth="1"/>
    <col min="8" max="8" width="20.5" bestFit="1" customWidth="1"/>
    <col min="9" max="9" width="18.1640625" customWidth="1"/>
    <col min="10" max="10" width="21.5" customWidth="1"/>
    <col min="11" max="11" width="18.83203125" bestFit="1" customWidth="1"/>
    <col min="12" max="12" width="17.83203125" bestFit="1" customWidth="1"/>
    <col min="13" max="13" width="19" bestFit="1" customWidth="1"/>
    <col min="14" max="15" width="17.83203125" bestFit="1" customWidth="1"/>
    <col min="16" max="30" width="18.1640625" bestFit="1" customWidth="1"/>
    <col min="31" max="33" width="19.33203125" bestFit="1" customWidth="1"/>
  </cols>
  <sheetData>
    <row r="1" spans="1:10" ht="30.75" customHeight="1">
      <c r="A1" s="72" t="s">
        <v>29</v>
      </c>
      <c r="B1" s="103" t="s">
        <v>13</v>
      </c>
      <c r="C1" s="73"/>
      <c r="D1" s="74" t="s">
        <v>30</v>
      </c>
      <c r="E1" s="74" t="s">
        <v>31</v>
      </c>
      <c r="F1" s="74" t="s">
        <v>32</v>
      </c>
      <c r="G1" s="75" t="s">
        <v>33</v>
      </c>
      <c r="H1" s="76" t="s">
        <v>34</v>
      </c>
      <c r="I1" s="1"/>
      <c r="J1" s="1"/>
    </row>
    <row r="2" spans="1:10">
      <c r="A2" s="2" t="s">
        <v>35</v>
      </c>
      <c r="B2" s="106">
        <v>0</v>
      </c>
      <c r="C2" s="34"/>
      <c r="D2" s="3">
        <f>('Better Option Input Sheet'!I7*Options_Price)*(1-Options_Concessions)</f>
        <v>0</v>
      </c>
      <c r="E2" s="3">
        <f>'Better Option Input Sheet'!D11+('Better Option Input Sheet'!H7*Options_Recurring)</f>
        <v>10802538.450000001</v>
      </c>
      <c r="F2" s="3">
        <f t="shared" ref="F2:F11" si="0">D2-E2</f>
        <v>-10802538.450000001</v>
      </c>
      <c r="G2" s="4">
        <f t="shared" ref="G2:G11" si="1">1/(1+$H$15)^B2</f>
        <v>1</v>
      </c>
      <c r="H2" s="41">
        <f t="shared" ref="H2:H11" si="2">F2*G2</f>
        <v>-10802538.450000001</v>
      </c>
      <c r="J2" s="113">
        <f>H2</f>
        <v>-10802538.450000001</v>
      </c>
    </row>
    <row r="3" spans="1:10">
      <c r="A3" s="2" t="s">
        <v>36</v>
      </c>
      <c r="B3" s="106">
        <v>1</v>
      </c>
      <c r="C3" s="34"/>
      <c r="D3" s="3">
        <f>('Better Option Input Sheet'!I8*Options_Price)*(1-Options_Concessions)</f>
        <v>1839999.9999999998</v>
      </c>
      <c r="E3" s="3">
        <f>'Better Option Input Sheet'!D12+('Better Option Input Sheet'!H8*Options_Recurring)</f>
        <v>2810217.6900000004</v>
      </c>
      <c r="F3" s="3">
        <f t="shared" si="0"/>
        <v>-970217.69000000064</v>
      </c>
      <c r="G3" s="4">
        <f t="shared" si="1"/>
        <v>0.90909090909090906</v>
      </c>
      <c r="H3" s="41">
        <f t="shared" si="2"/>
        <v>-882016.08181818237</v>
      </c>
      <c r="J3" s="113">
        <f>H3+J2</f>
        <v>-11684554.531818183</v>
      </c>
    </row>
    <row r="4" spans="1:10">
      <c r="A4" s="2" t="s">
        <v>37</v>
      </c>
      <c r="B4" s="106">
        <v>2</v>
      </c>
      <c r="C4" s="104"/>
      <c r="D4" s="3">
        <f>('Better Option Input Sheet'!I9*Options_Price)*(1-Options_Concessions)</f>
        <v>3679999.9999999995</v>
      </c>
      <c r="E4" s="3">
        <f>'Better Option Input Sheet'!D13+('Better Option Input Sheet'!H9*Options_Recurring)</f>
        <v>2379673.8450000002</v>
      </c>
      <c r="F4" s="3">
        <f t="shared" si="0"/>
        <v>1300326.1549999993</v>
      </c>
      <c r="G4" s="4">
        <f t="shared" si="1"/>
        <v>0.82644628099173545</v>
      </c>
      <c r="H4" s="41">
        <f t="shared" si="2"/>
        <v>1074649.7148760324</v>
      </c>
      <c r="J4" s="113">
        <f t="shared" ref="J4:J11" si="3">H4+J3</f>
        <v>-10609904.816942152</v>
      </c>
    </row>
    <row r="5" spans="1:10">
      <c r="A5" s="2" t="s">
        <v>38</v>
      </c>
      <c r="B5" s="106">
        <v>3</v>
      </c>
      <c r="C5" s="34"/>
      <c r="D5" s="3">
        <f>('Better Option Input Sheet'!I10*Options_Price)*(1-Options_Concessions)</f>
        <v>7359999.9999999991</v>
      </c>
      <c r="E5" s="3">
        <f>'Better Option Input Sheet'!D14+('Better Option Input Sheet'!H10*Options_Recurring)</f>
        <v>3679093.8450000002</v>
      </c>
      <c r="F5" s="3">
        <f t="shared" si="0"/>
        <v>3680906.1549999989</v>
      </c>
      <c r="G5" s="4">
        <f t="shared" si="1"/>
        <v>0.75131480090157754</v>
      </c>
      <c r="H5" s="41">
        <f t="shared" si="2"/>
        <v>2765519.2749812156</v>
      </c>
      <c r="J5" s="113">
        <f t="shared" si="3"/>
        <v>-7844385.541960936</v>
      </c>
    </row>
    <row r="6" spans="1:10">
      <c r="A6" s="2" t="s">
        <v>39</v>
      </c>
      <c r="B6" s="106">
        <v>4</v>
      </c>
      <c r="C6" s="104"/>
      <c r="D6" s="3">
        <f>('Better Option Input Sheet'!I11*Options_Price)*(1-Options_Concessions)</f>
        <v>11039999.999999998</v>
      </c>
      <c r="E6" s="3">
        <f>'Better Option Input Sheet'!D15+('Better Option Input Sheet'!H11*Options_Recurring)</f>
        <v>4978513.8450000007</v>
      </c>
      <c r="F6" s="3">
        <f t="shared" si="0"/>
        <v>6061486.1549999975</v>
      </c>
      <c r="G6" s="4">
        <f t="shared" si="1"/>
        <v>0.68301345536507052</v>
      </c>
      <c r="H6" s="41">
        <f t="shared" si="2"/>
        <v>4140076.6033740835</v>
      </c>
      <c r="J6" s="113">
        <f t="shared" si="3"/>
        <v>-3704308.9385868525</v>
      </c>
    </row>
    <row r="7" spans="1:10">
      <c r="A7" s="2" t="s">
        <v>40</v>
      </c>
      <c r="B7" s="106">
        <v>5</v>
      </c>
      <c r="C7" s="34"/>
      <c r="D7" s="3">
        <f>('Better Option Input Sheet'!I12*Options_Price)*(1-Options_Concessions)</f>
        <v>14719999.999999998</v>
      </c>
      <c r="E7" s="3">
        <f>'Better Option Input Sheet'!D16+('Better Option Input Sheet'!H12*Options_Recurring)</f>
        <v>6277933.8450000007</v>
      </c>
      <c r="F7" s="3">
        <f t="shared" si="0"/>
        <v>8442066.1549999975</v>
      </c>
      <c r="G7" s="4">
        <f t="shared" si="1"/>
        <v>0.62092132305915493</v>
      </c>
      <c r="H7" s="41">
        <f t="shared" si="2"/>
        <v>5241858.8863155115</v>
      </c>
      <c r="J7" s="113">
        <f t="shared" si="3"/>
        <v>1537549.947728659</v>
      </c>
    </row>
    <row r="8" spans="1:10">
      <c r="A8" s="2" t="s">
        <v>41</v>
      </c>
      <c r="B8" s="106">
        <v>6</v>
      </c>
      <c r="C8" s="104"/>
      <c r="D8" s="3">
        <f>('Better Option Input Sheet'!I13*Options_Price)*(1-Options_Concessions)</f>
        <v>18399999.999999996</v>
      </c>
      <c r="E8" s="3">
        <f>('Better Option Input Sheet'!H13*Options_Recurring)</f>
        <v>6497100</v>
      </c>
      <c r="F8" s="3">
        <f t="shared" si="0"/>
        <v>11902899.999999996</v>
      </c>
      <c r="G8" s="4">
        <f t="shared" si="1"/>
        <v>0.56447393005377722</v>
      </c>
      <c r="H8" s="41">
        <f t="shared" si="2"/>
        <v>6718876.7420371026</v>
      </c>
      <c r="J8" s="113">
        <f t="shared" si="3"/>
        <v>8256426.6897657616</v>
      </c>
    </row>
    <row r="9" spans="1:10">
      <c r="A9" s="2" t="s">
        <v>42</v>
      </c>
      <c r="B9" s="106">
        <v>7</v>
      </c>
      <c r="C9" s="34"/>
      <c r="D9" s="3">
        <f>('Better Option Input Sheet'!I14*Options_Price)*(1-Options_Concessions)</f>
        <v>27599999.999999996</v>
      </c>
      <c r="E9" s="3">
        <f>('Better Option Input Sheet'!H14*Options_Recurring)</f>
        <v>9745650</v>
      </c>
      <c r="F9" s="3">
        <f t="shared" si="0"/>
        <v>17854349.999999996</v>
      </c>
      <c r="G9" s="4">
        <f t="shared" si="1"/>
        <v>0.51315811823070645</v>
      </c>
      <c r="H9" s="41">
        <f t="shared" si="2"/>
        <v>9162104.6482324116</v>
      </c>
      <c r="J9" s="113">
        <f t="shared" si="3"/>
        <v>17418531.337998174</v>
      </c>
    </row>
    <row r="10" spans="1:10">
      <c r="A10" s="2" t="s">
        <v>43</v>
      </c>
      <c r="B10" s="106">
        <v>8</v>
      </c>
      <c r="C10" s="104"/>
      <c r="D10" s="3">
        <f>('Better Option Input Sheet'!I15*Options_Price)*(1-Options_Concessions)</f>
        <v>36799999.999999993</v>
      </c>
      <c r="E10" s="3">
        <f>('Better Option Input Sheet'!H15*Options_Recurring)</f>
        <v>12994200</v>
      </c>
      <c r="F10" s="3">
        <f t="shared" si="0"/>
        <v>23805799.999999993</v>
      </c>
      <c r="G10" s="4">
        <f t="shared" si="1"/>
        <v>0.46650738020973315</v>
      </c>
      <c r="H10" s="41">
        <f t="shared" si="2"/>
        <v>11105581.391796863</v>
      </c>
      <c r="J10" s="113">
        <f t="shared" si="3"/>
        <v>28524112.729795039</v>
      </c>
    </row>
    <row r="11" spans="1:10" ht="16.5" thickBot="1">
      <c r="A11" s="2" t="s">
        <v>44</v>
      </c>
      <c r="B11" s="106">
        <v>9</v>
      </c>
      <c r="C11" s="34"/>
      <c r="D11" s="3">
        <f>('Better Option Input Sheet'!I16*Options_Price)*(1-Options_Concessions)</f>
        <v>45999999.999999993</v>
      </c>
      <c r="E11" s="3">
        <f>('Better Option Input Sheet'!H16*Options_Recurring)</f>
        <v>16242750</v>
      </c>
      <c r="F11" s="3">
        <f t="shared" si="0"/>
        <v>29757249.999999993</v>
      </c>
      <c r="G11" s="4">
        <f t="shared" si="1"/>
        <v>0.42409761837248466</v>
      </c>
      <c r="H11" s="41">
        <f t="shared" si="2"/>
        <v>12619978.854314616</v>
      </c>
      <c r="J11" s="113">
        <f t="shared" si="3"/>
        <v>41144091.584109657</v>
      </c>
    </row>
    <row r="12" spans="1:10" ht="16.5" thickBot="1">
      <c r="A12" s="42"/>
      <c r="B12" s="107"/>
      <c r="C12" s="105" t="s">
        <v>45</v>
      </c>
      <c r="D12" s="46">
        <f>SUM(D2:D11)</f>
        <v>167439999.99999997</v>
      </c>
      <c r="E12" s="46">
        <f>SUM(E2:E11)</f>
        <v>76407671.520000011</v>
      </c>
      <c r="F12" s="46">
        <f>SUM(F2:F11)</f>
        <v>91032328.479999974</v>
      </c>
      <c r="G12" s="6"/>
      <c r="H12" s="46">
        <f>SUM(H2:H11)</f>
        <v>41144091.584109657</v>
      </c>
    </row>
    <row r="13" spans="1:10" ht="16.5" thickBot="1">
      <c r="A13" s="6"/>
      <c r="B13" s="106"/>
      <c r="C13" s="34"/>
      <c r="D13" s="10"/>
      <c r="E13" s="10"/>
    </row>
    <row r="14" spans="1:10">
      <c r="A14" s="6"/>
      <c r="C14" s="35"/>
      <c r="D14" s="10"/>
      <c r="E14" s="10"/>
      <c r="G14" s="81" t="s">
        <v>46</v>
      </c>
      <c r="H14" s="18">
        <f>SUM(H2:H11)</f>
        <v>41144091.584109657</v>
      </c>
      <c r="I14" s="8"/>
    </row>
    <row r="15" spans="1:10">
      <c r="A15" s="6"/>
      <c r="C15" s="35"/>
      <c r="D15" s="10"/>
      <c r="E15" s="10"/>
      <c r="G15" s="16" t="s">
        <v>47</v>
      </c>
      <c r="H15" s="17">
        <f>'Better Option Input Sheet'!$E$28</f>
        <v>0.1</v>
      </c>
      <c r="I15" s="8"/>
    </row>
    <row r="16" spans="1:10" ht="16.5" thickBot="1">
      <c r="A16" s="6"/>
      <c r="C16" s="35"/>
      <c r="D16" s="6"/>
      <c r="E16" s="7"/>
      <c r="G16" s="82" t="s">
        <v>48</v>
      </c>
      <c r="H16" s="13">
        <f>IRR(F2:F11,H15)</f>
        <v>0.39967722887892271</v>
      </c>
    </row>
    <row r="19" spans="1:33" ht="16.5" thickBot="1"/>
    <row r="20" spans="1:33">
      <c r="A20" s="68"/>
      <c r="B20" s="110"/>
      <c r="C20" s="69" t="s">
        <v>53</v>
      </c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141"/>
      <c r="O20" s="141"/>
      <c r="P20" s="141"/>
      <c r="Q20" s="141"/>
      <c r="R20" s="141"/>
    </row>
    <row r="21" spans="1:33" s="108" customFormat="1">
      <c r="A21" s="114"/>
      <c r="B21" s="106"/>
      <c r="C21" s="115"/>
      <c r="D21" s="116" t="s">
        <v>35</v>
      </c>
      <c r="E21" s="116" t="s">
        <v>36</v>
      </c>
      <c r="F21" s="116" t="s">
        <v>37</v>
      </c>
      <c r="G21" s="116" t="s">
        <v>38</v>
      </c>
      <c r="H21" s="116" t="s">
        <v>39</v>
      </c>
      <c r="I21" s="116" t="s">
        <v>40</v>
      </c>
      <c r="J21" s="116" t="s">
        <v>41</v>
      </c>
      <c r="K21" s="116" t="s">
        <v>42</v>
      </c>
      <c r="L21" s="116" t="s">
        <v>43</v>
      </c>
      <c r="M21" s="116" t="s">
        <v>44</v>
      </c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</row>
    <row r="22" spans="1:33">
      <c r="A22" s="70"/>
      <c r="B22" s="111"/>
      <c r="C22" s="67" t="s">
        <v>54</v>
      </c>
      <c r="D22" s="117">
        <f>'Baseline Calculation Sheet'!D23</f>
        <v>-14403384.600000001</v>
      </c>
      <c r="E22" s="117">
        <f>'Baseline Calculation Sheet'!E23</f>
        <v>-2002576.9200000004</v>
      </c>
      <c r="F22" s="117">
        <f>'Baseline Calculation Sheet'!F23</f>
        <v>315861.54000000004</v>
      </c>
      <c r="G22" s="117">
        <f>'Baseline Calculation Sheet'!G23</f>
        <v>2072061.54</v>
      </c>
      <c r="H22" s="117">
        <f>'Baseline Calculation Sheet'!H23</f>
        <v>3828261.54</v>
      </c>
      <c r="I22" s="117">
        <f>'Baseline Calculation Sheet'!I23</f>
        <v>5584461.54</v>
      </c>
      <c r="J22" s="117">
        <f>'Baseline Calculation Sheet'!J23</f>
        <v>8781000</v>
      </c>
      <c r="K22" s="117">
        <f>'Baseline Calculation Sheet'!K23</f>
        <v>13171500</v>
      </c>
      <c r="L22" s="117">
        <f>'Baseline Calculation Sheet'!L23</f>
        <v>17562000</v>
      </c>
      <c r="M22" s="117">
        <f>'Baseline Calculation Sheet'!M23</f>
        <v>21952500</v>
      </c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</row>
    <row r="23" spans="1:33">
      <c r="A23" s="70"/>
      <c r="B23" s="111"/>
      <c r="C23" s="67" t="s">
        <v>52</v>
      </c>
      <c r="D23" s="117">
        <f>'Baseline Calculation Sheet'!D25</f>
        <v>-14403384.600000001</v>
      </c>
      <c r="E23" s="117">
        <f>'Baseline Calculation Sheet'!E25</f>
        <v>-16223909.072727274</v>
      </c>
      <c r="F23" s="117">
        <f>'Baseline Calculation Sheet'!F25</f>
        <v>-15962866.477685953</v>
      </c>
      <c r="G23" s="117">
        <f>'Baseline Calculation Sheet'!G25</f>
        <v>-14406095.974305037</v>
      </c>
      <c r="H23" s="117">
        <f>'Baseline Calculation Sheet'!H25</f>
        <v>-11791341.83182843</v>
      </c>
      <c r="I23" s="117">
        <f>'Baseline Calculation Sheet'!I25</f>
        <v>-8323830.583838664</v>
      </c>
      <c r="J23" s="117">
        <f>'Baseline Calculation Sheet'!J25</f>
        <v>-3367185.0040364461</v>
      </c>
      <c r="K23" s="117">
        <f>'Baseline Calculation Sheet'!K25</f>
        <v>3391877.1502393037</v>
      </c>
      <c r="L23" s="117">
        <f>'Baseline Calculation Sheet'!L25</f>
        <v>11584679.761482637</v>
      </c>
      <c r="M23" s="117">
        <f>'Baseline Calculation Sheet'!M25</f>
        <v>20894682.728804607</v>
      </c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</row>
    <row r="24" spans="1:33">
      <c r="A24" s="70"/>
      <c r="B24" s="106"/>
      <c r="C24" s="67" t="s">
        <v>55</v>
      </c>
      <c r="D24" s="117">
        <f>F2</f>
        <v>-10802538.450000001</v>
      </c>
      <c r="E24" s="117">
        <f>F3</f>
        <v>-970217.69000000064</v>
      </c>
      <c r="F24" s="117">
        <f>F4</f>
        <v>1300326.1549999993</v>
      </c>
      <c r="G24" s="117">
        <f>F5</f>
        <v>3680906.1549999989</v>
      </c>
      <c r="H24" s="117">
        <f>F6</f>
        <v>6061486.1549999975</v>
      </c>
      <c r="I24" s="117">
        <f>F7</f>
        <v>8442066.1549999975</v>
      </c>
      <c r="J24" s="117">
        <f>F8</f>
        <v>11902899.999999996</v>
      </c>
      <c r="K24" s="117">
        <f>F9</f>
        <v>17854349.999999996</v>
      </c>
      <c r="L24" s="117">
        <f>F10</f>
        <v>23805799.999999993</v>
      </c>
      <c r="M24" s="117">
        <f>F11</f>
        <v>29757249.999999993</v>
      </c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</row>
    <row r="25" spans="1:33">
      <c r="A25" s="70"/>
      <c r="B25" s="106"/>
      <c r="C25" s="67" t="s">
        <v>58</v>
      </c>
      <c r="D25" s="117">
        <f>D24</f>
        <v>-10802538.450000001</v>
      </c>
      <c r="E25" s="117">
        <f>D25+E24</f>
        <v>-11772756.140000002</v>
      </c>
      <c r="F25" s="117">
        <f t="shared" ref="F25:M25" si="4">E25+F24</f>
        <v>-10472429.985000003</v>
      </c>
      <c r="G25" s="117">
        <f t="shared" si="4"/>
        <v>-6791523.8300000038</v>
      </c>
      <c r="H25" s="117">
        <f t="shared" si="4"/>
        <v>-730037.67500000633</v>
      </c>
      <c r="I25" s="117">
        <f t="shared" si="4"/>
        <v>7712028.4799999911</v>
      </c>
      <c r="J25" s="117">
        <f t="shared" si="4"/>
        <v>19614928.479999989</v>
      </c>
      <c r="K25" s="117">
        <f t="shared" si="4"/>
        <v>37469278.479999989</v>
      </c>
      <c r="L25" s="117">
        <f t="shared" si="4"/>
        <v>61275078.479999982</v>
      </c>
      <c r="M25" s="117">
        <f t="shared" si="4"/>
        <v>91032328.479999974</v>
      </c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</row>
    <row r="26" spans="1:33" ht="16.5" thickBot="1">
      <c r="A26" s="12"/>
      <c r="B26" s="112"/>
      <c r="C26" s="71" t="s">
        <v>56</v>
      </c>
      <c r="D26" s="117">
        <f>J2</f>
        <v>-10802538.450000001</v>
      </c>
      <c r="E26" s="117">
        <f>J3</f>
        <v>-11684554.531818183</v>
      </c>
      <c r="F26" s="117">
        <f>J4</f>
        <v>-10609904.816942152</v>
      </c>
      <c r="G26" s="117">
        <f>J5</f>
        <v>-7844385.541960936</v>
      </c>
      <c r="H26" s="117">
        <f>J6</f>
        <v>-3704308.9385868525</v>
      </c>
      <c r="I26" s="117">
        <f>J7</f>
        <v>1537549.947728659</v>
      </c>
      <c r="J26" s="117">
        <f>J8</f>
        <v>8256426.6897657616</v>
      </c>
      <c r="K26" s="117">
        <f>J9</f>
        <v>17418531.337998174</v>
      </c>
      <c r="L26" s="117">
        <f>J10</f>
        <v>28524112.729795039</v>
      </c>
      <c r="M26" s="117">
        <f>J11</f>
        <v>41144091.584109657</v>
      </c>
      <c r="N26" s="139"/>
      <c r="O26" s="139"/>
      <c r="P26" s="139"/>
      <c r="Q26" s="139"/>
      <c r="R26" s="139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</row>
    <row r="27" spans="1:33">
      <c r="C27" s="66"/>
    </row>
    <row r="28" spans="1:33" ht="12.75">
      <c r="A28" s="163" t="s">
        <v>60</v>
      </c>
      <c r="B28" s="164"/>
      <c r="C28" s="164"/>
      <c r="D28" s="113">
        <v>-1000000000</v>
      </c>
      <c r="E28" s="113">
        <v>-3000000000</v>
      </c>
      <c r="F28" s="113">
        <v>-5159000000</v>
      </c>
      <c r="G28" s="113">
        <v>-7424000000</v>
      </c>
      <c r="H28" s="113">
        <v>-8378000000</v>
      </c>
      <c r="I28" s="113">
        <v>-8802000000</v>
      </c>
      <c r="J28" s="113">
        <v>-10180000000</v>
      </c>
      <c r="K28" s="113">
        <v>-11770000000</v>
      </c>
      <c r="L28" s="113">
        <v>-9120000000</v>
      </c>
      <c r="M28" s="113">
        <v>-11240000000</v>
      </c>
      <c r="N28" s="113">
        <v>-7000000000</v>
      </c>
      <c r="O28" s="113">
        <v>-2760000000</v>
      </c>
      <c r="P28" s="113">
        <v>1480000000</v>
      </c>
      <c r="Q28" s="113">
        <v>5720000000</v>
      </c>
      <c r="R28" s="113">
        <v>9960000000</v>
      </c>
      <c r="S28" s="113">
        <v>14200000000</v>
      </c>
      <c r="T28" s="113">
        <v>18440000000</v>
      </c>
      <c r="U28" s="113">
        <v>19500000000</v>
      </c>
      <c r="V28" s="113">
        <v>24800000000</v>
      </c>
      <c r="W28" s="113">
        <v>31690000000</v>
      </c>
      <c r="X28" s="113">
        <v>38050000000</v>
      </c>
      <c r="Y28" s="113">
        <v>43880000000</v>
      </c>
      <c r="Z28" s="113">
        <v>49180000000</v>
      </c>
      <c r="AA28" s="113">
        <v>53950000000</v>
      </c>
      <c r="AB28" s="113">
        <v>58190000000</v>
      </c>
      <c r="AC28" s="113">
        <v>61900000000</v>
      </c>
      <c r="AD28" s="113">
        <v>65080000000</v>
      </c>
      <c r="AE28" s="113">
        <v>67730000000</v>
      </c>
      <c r="AF28" s="113">
        <v>69055000000</v>
      </c>
      <c r="AG28" s="113">
        <v>70115000000</v>
      </c>
    </row>
  </sheetData>
  <mergeCells count="1">
    <mergeCell ref="A28:C28"/>
  </mergeCells>
  <phoneticPr fontId="0" type="noConversion"/>
  <printOptions horizontalCentered="1" verticalCentered="1"/>
  <pageMargins left="0.75" right="0.75" top="1" bottom="1" header="0.5" footer="0.5"/>
  <pageSetup scale="97" orientation="landscape" horizontalDpi="300" verticalDpi="300" r:id="rId1"/>
  <headerFooter alignWithMargins="0">
    <oddHeader>&amp;C&amp;16&amp;A</oddHeader>
    <oddFooter>Page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28"/>
  <sheetViews>
    <sheetView zoomScale="85" zoomScaleNormal="85" workbookViewId="0">
      <selection sqref="A1:H16"/>
    </sheetView>
  </sheetViews>
  <sheetFormatPr defaultColWidth="8.6640625" defaultRowHeight="15.75"/>
  <cols>
    <col min="1" max="1" width="20.6640625" customWidth="1"/>
    <col min="2" max="2" width="6.5" style="109" hidden="1" customWidth="1"/>
    <col min="3" max="3" width="6" style="65" customWidth="1"/>
    <col min="4" max="4" width="24.1640625" customWidth="1"/>
    <col min="5" max="5" width="24.33203125" customWidth="1"/>
    <col min="6" max="6" width="26.1640625" customWidth="1"/>
    <col min="7" max="7" width="39.83203125" customWidth="1"/>
    <col min="8" max="8" width="20.5" bestFit="1" customWidth="1"/>
    <col min="9" max="9" width="18.1640625" customWidth="1"/>
    <col min="10" max="10" width="21.5" customWidth="1"/>
    <col min="11" max="11" width="18.83203125" bestFit="1" customWidth="1"/>
    <col min="12" max="12" width="17.83203125" bestFit="1" customWidth="1"/>
    <col min="13" max="13" width="19" bestFit="1" customWidth="1"/>
    <col min="14" max="15" width="17.83203125" bestFit="1" customWidth="1"/>
    <col min="16" max="30" width="18.1640625" bestFit="1" customWidth="1"/>
    <col min="31" max="33" width="19.33203125" bestFit="1" customWidth="1"/>
  </cols>
  <sheetData>
    <row r="1" spans="1:10" ht="30.75" customHeight="1">
      <c r="A1" s="72" t="s">
        <v>29</v>
      </c>
      <c r="B1" s="103" t="s">
        <v>13</v>
      </c>
      <c r="C1" s="73"/>
      <c r="D1" s="74" t="s">
        <v>30</v>
      </c>
      <c r="E1" s="74" t="s">
        <v>31</v>
      </c>
      <c r="F1" s="74" t="s">
        <v>32</v>
      </c>
      <c r="G1" s="75" t="s">
        <v>33</v>
      </c>
      <c r="H1" s="76" t="s">
        <v>34</v>
      </c>
      <c r="I1" s="1"/>
      <c r="J1" s="1"/>
    </row>
    <row r="2" spans="1:10">
      <c r="A2" s="2" t="s">
        <v>35</v>
      </c>
      <c r="B2" s="106">
        <v>0</v>
      </c>
      <c r="C2" s="34"/>
      <c r="D2" s="3">
        <f>('Worse Option Input Sheet'!I7*Worse_Options_Price)*(1-Options_Concessions)</f>
        <v>0</v>
      </c>
      <c r="E2" s="3">
        <f>'Worse Option Input Sheet'!D11+('Worse Option Input Sheet'!H7*'Worse Option Input Sheet'!Options_Recurring)</f>
        <v>18004230.75</v>
      </c>
      <c r="F2" s="3">
        <f t="shared" ref="F2:F11" si="0">D2-E2</f>
        <v>-18004230.75</v>
      </c>
      <c r="G2" s="4">
        <f t="shared" ref="G2:G11" si="1">1/(1+$H$15)^B2</f>
        <v>1</v>
      </c>
      <c r="H2" s="41">
        <f t="shared" ref="H2:H11" si="2">F2*G2</f>
        <v>-18004230.75</v>
      </c>
      <c r="J2" s="113">
        <f>H2</f>
        <v>-18004230.75</v>
      </c>
    </row>
    <row r="3" spans="1:10">
      <c r="A3" s="2" t="s">
        <v>36</v>
      </c>
      <c r="B3" s="106">
        <v>1</v>
      </c>
      <c r="C3" s="34"/>
      <c r="D3" s="3">
        <f>('Worse Option Input Sheet'!I8*Worse_Options_Price)*(1-Options_Concessions)</f>
        <v>1600000</v>
      </c>
      <c r="E3" s="3">
        <f>'Worse Option Input Sheet'!D12+('Worse Option Input Sheet'!H8*'Worse Option Input Sheet'!Options_Recurring)</f>
        <v>4358841.1500000004</v>
      </c>
      <c r="F3" s="3">
        <f t="shared" si="0"/>
        <v>-2758841.1500000004</v>
      </c>
      <c r="G3" s="4">
        <f t="shared" si="1"/>
        <v>0.86956521739130443</v>
      </c>
      <c r="H3" s="41">
        <f t="shared" si="2"/>
        <v>-2398992.3043478266</v>
      </c>
      <c r="J3" s="113">
        <f>H3+J2</f>
        <v>-20403223.054347828</v>
      </c>
    </row>
    <row r="4" spans="1:10">
      <c r="A4" s="2" t="s">
        <v>37</v>
      </c>
      <c r="B4" s="106">
        <v>2</v>
      </c>
      <c r="C4" s="104"/>
      <c r="D4" s="3">
        <f>('Worse Option Input Sheet'!I9*Worse_Options_Price)*(1-Options_Concessions)</f>
        <v>3200000</v>
      </c>
      <c r="E4" s="3">
        <f>'Worse Option Input Sheet'!D13+('Worse Option Input Sheet'!H9*'Worse Option Input Sheet'!Options_Recurring)</f>
        <v>3316413.0750000002</v>
      </c>
      <c r="F4" s="3">
        <f t="shared" si="0"/>
        <v>-116413.07500000019</v>
      </c>
      <c r="G4" s="4">
        <f t="shared" si="1"/>
        <v>0.7561436672967865</v>
      </c>
      <c r="H4" s="41">
        <f t="shared" si="2"/>
        <v>-88025.009451795995</v>
      </c>
      <c r="J4" s="113">
        <f t="shared" ref="J4:J11" si="3">H4+J3</f>
        <v>-20491248.063799623</v>
      </c>
    </row>
    <row r="5" spans="1:10">
      <c r="A5" s="2" t="s">
        <v>38</v>
      </c>
      <c r="B5" s="106">
        <v>3</v>
      </c>
      <c r="C5" s="34"/>
      <c r="D5" s="3">
        <f>('Worse Option Input Sheet'!I10*Worse_Options_Price)*(1-Options_Concessions)</f>
        <v>6400000</v>
      </c>
      <c r="E5" s="3">
        <f>'Worse Option Input Sheet'!D14+('Worse Option Input Sheet'!H10*'Worse Option Input Sheet'!Options_Recurring)</f>
        <v>4832403.0750000002</v>
      </c>
      <c r="F5" s="3">
        <f t="shared" si="0"/>
        <v>1567596.9249999998</v>
      </c>
      <c r="G5" s="4">
        <f t="shared" si="1"/>
        <v>0.65751623243198831</v>
      </c>
      <c r="H5" s="41">
        <f t="shared" si="2"/>
        <v>1030720.42409797</v>
      </c>
      <c r="J5" s="113">
        <f t="shared" si="3"/>
        <v>-19460527.639701653</v>
      </c>
    </row>
    <row r="6" spans="1:10">
      <c r="A6" s="2" t="s">
        <v>39</v>
      </c>
      <c r="B6" s="106">
        <v>4</v>
      </c>
      <c r="C6" s="104"/>
      <c r="D6" s="3">
        <f>('Worse Option Input Sheet'!I11*Worse_Options_Price)*(1-Options_Concessions)</f>
        <v>9600000</v>
      </c>
      <c r="E6" s="3">
        <f>'Worse Option Input Sheet'!D15+('Worse Option Input Sheet'!H11*'Worse Option Input Sheet'!Options_Recurring)</f>
        <v>6348393.0750000002</v>
      </c>
      <c r="F6" s="3">
        <f t="shared" si="0"/>
        <v>3251606.9249999998</v>
      </c>
      <c r="G6" s="4">
        <f t="shared" si="1"/>
        <v>0.57175324559303342</v>
      </c>
      <c r="H6" s="41">
        <f t="shared" si="2"/>
        <v>1859116.8127615331</v>
      </c>
      <c r="J6" s="113">
        <f t="shared" si="3"/>
        <v>-17601410.826940119</v>
      </c>
    </row>
    <row r="7" spans="1:10">
      <c r="A7" s="2" t="s">
        <v>40</v>
      </c>
      <c r="B7" s="106">
        <v>5</v>
      </c>
      <c r="C7" s="34"/>
      <c r="D7" s="3">
        <f>('Worse Option Input Sheet'!I12*Worse_Options_Price)*(1-Options_Concessions)</f>
        <v>12800000</v>
      </c>
      <c r="E7" s="3">
        <f>'Worse Option Input Sheet'!D16+('Worse Option Input Sheet'!H12*'Worse Option Input Sheet'!Options_Recurring)</f>
        <v>7864383.0750000002</v>
      </c>
      <c r="F7" s="3">
        <f t="shared" si="0"/>
        <v>4935616.9249999998</v>
      </c>
      <c r="G7" s="4">
        <f t="shared" si="1"/>
        <v>0.49717673529828987</v>
      </c>
      <c r="H7" s="41">
        <f t="shared" si="2"/>
        <v>2453873.9094544845</v>
      </c>
      <c r="J7" s="113">
        <f t="shared" si="3"/>
        <v>-15147536.917485636</v>
      </c>
    </row>
    <row r="8" spans="1:10">
      <c r="A8" s="2" t="s">
        <v>41</v>
      </c>
      <c r="B8" s="106">
        <v>6</v>
      </c>
      <c r="C8" s="104"/>
      <c r="D8" s="3">
        <f>('Worse Option Input Sheet'!I13*Worse_Options_Price)*(1-Options_Concessions)</f>
        <v>16000000</v>
      </c>
      <c r="E8" s="3">
        <f>'Worse Option Input Sheet'!D17+('Worse Option Input Sheet'!H13*'Worse Option Input Sheet'!Options_Recurring)</f>
        <v>7579950</v>
      </c>
      <c r="F8" s="3">
        <f t="shared" si="0"/>
        <v>8420050</v>
      </c>
      <c r="G8" s="4">
        <f t="shared" si="1"/>
        <v>0.43232759591155645</v>
      </c>
      <c r="H8" s="41">
        <f t="shared" si="2"/>
        <v>3640219.9739551009</v>
      </c>
      <c r="J8" s="113">
        <f t="shared" si="3"/>
        <v>-11507316.943530535</v>
      </c>
    </row>
    <row r="9" spans="1:10">
      <c r="A9" s="2" t="s">
        <v>42</v>
      </c>
      <c r="B9" s="106">
        <v>7</v>
      </c>
      <c r="C9" s="34"/>
      <c r="D9" s="3">
        <f>('Worse Option Input Sheet'!I14*Worse_Options_Price)*(1-Options_Concessions)</f>
        <v>24000000</v>
      </c>
      <c r="E9" s="3">
        <f>('Worse Option Input Sheet'!H14*'Worse Option Input Sheet'!Options_Recurring)</f>
        <v>11369925</v>
      </c>
      <c r="F9" s="3">
        <f t="shared" si="0"/>
        <v>12630075</v>
      </c>
      <c r="G9" s="4">
        <f t="shared" si="1"/>
        <v>0.37593703992309269</v>
      </c>
      <c r="H9" s="41">
        <f t="shared" si="2"/>
        <v>4748113.0095066549</v>
      </c>
      <c r="J9" s="113">
        <f t="shared" si="3"/>
        <v>-6759203.9340238804</v>
      </c>
    </row>
    <row r="10" spans="1:10">
      <c r="A10" s="2" t="s">
        <v>43</v>
      </c>
      <c r="B10" s="106">
        <v>8</v>
      </c>
      <c r="C10" s="104"/>
      <c r="D10" s="3">
        <f>('Worse Option Input Sheet'!I15*Worse_Options_Price)*(1-Options_Concessions)</f>
        <v>32000000</v>
      </c>
      <c r="E10" s="3">
        <f>('Worse Option Input Sheet'!H15*'Worse Option Input Sheet'!Options_Recurring)</f>
        <v>15159900</v>
      </c>
      <c r="F10" s="3">
        <f t="shared" si="0"/>
        <v>16840100</v>
      </c>
      <c r="G10" s="4">
        <f t="shared" si="1"/>
        <v>0.32690177384616753</v>
      </c>
      <c r="H10" s="41">
        <f t="shared" si="2"/>
        <v>5505058.561746846</v>
      </c>
      <c r="J10" s="113">
        <f t="shared" si="3"/>
        <v>-1254145.3722770344</v>
      </c>
    </row>
    <row r="11" spans="1:10" ht="16.5" thickBot="1">
      <c r="A11" s="2" t="s">
        <v>44</v>
      </c>
      <c r="B11" s="106">
        <v>9</v>
      </c>
      <c r="C11" s="34"/>
      <c r="D11" s="3">
        <f>('Worse Option Input Sheet'!I16*Worse_Options_Price)*(1-Options_Concessions)</f>
        <v>40000000</v>
      </c>
      <c r="E11" s="3">
        <f>('Worse Option Input Sheet'!H16*'Worse Option Input Sheet'!Options_Recurring)</f>
        <v>18949875</v>
      </c>
      <c r="F11" s="3">
        <f t="shared" si="0"/>
        <v>21050125</v>
      </c>
      <c r="G11" s="4">
        <f t="shared" si="1"/>
        <v>0.28426241204014574</v>
      </c>
      <c r="H11" s="41">
        <f t="shared" si="2"/>
        <v>5983759.3062465731</v>
      </c>
      <c r="J11" s="113">
        <f t="shared" si="3"/>
        <v>4729613.9339695387</v>
      </c>
    </row>
    <row r="12" spans="1:10" ht="16.5" thickBot="1">
      <c r="A12" s="42"/>
      <c r="B12" s="107"/>
      <c r="C12" s="105" t="s">
        <v>45</v>
      </c>
      <c r="D12" s="46">
        <f>SUM(D2:D11)</f>
        <v>145600000</v>
      </c>
      <c r="E12" s="46">
        <f>SUM(E2:E11)</f>
        <v>97784314.200000003</v>
      </c>
      <c r="F12" s="46">
        <f>SUM(F2:F11)</f>
        <v>47815685.800000004</v>
      </c>
      <c r="G12" s="6"/>
      <c r="H12" s="46">
        <f>SUM(H2:H11)</f>
        <v>4729613.9339695387</v>
      </c>
    </row>
    <row r="13" spans="1:10" ht="16.5" thickBot="1">
      <c r="A13" s="6"/>
      <c r="B13" s="106"/>
      <c r="C13" s="34"/>
      <c r="D13" s="10"/>
      <c r="E13" s="10"/>
    </row>
    <row r="14" spans="1:10">
      <c r="A14" s="6"/>
      <c r="C14" s="35"/>
      <c r="D14" s="10"/>
      <c r="E14" s="10"/>
      <c r="G14" s="81" t="s">
        <v>46</v>
      </c>
      <c r="H14" s="18">
        <f>SUM(H2:H11)</f>
        <v>4729613.9339695387</v>
      </c>
      <c r="I14" s="8"/>
    </row>
    <row r="15" spans="1:10">
      <c r="A15" s="6"/>
      <c r="C15" s="35"/>
      <c r="D15" s="10"/>
      <c r="E15" s="10"/>
      <c r="G15" s="16" t="s">
        <v>47</v>
      </c>
      <c r="H15" s="17">
        <f>'Worse Option Input Sheet'!$E$28</f>
        <v>0.15</v>
      </c>
      <c r="I15" s="8"/>
    </row>
    <row r="16" spans="1:10" ht="16.5" thickBot="1">
      <c r="A16" s="6"/>
      <c r="C16" s="35"/>
      <c r="D16" s="6"/>
      <c r="E16" s="7"/>
      <c r="G16" s="82" t="s">
        <v>48</v>
      </c>
      <c r="H16" s="13">
        <f>IRR(F2:F11,H15)</f>
        <v>0.18566940421080383</v>
      </c>
    </row>
    <row r="19" spans="1:33" ht="16.5" thickBot="1"/>
    <row r="20" spans="1:33">
      <c r="A20" s="68"/>
      <c r="B20" s="110"/>
      <c r="C20" s="69" t="s">
        <v>53</v>
      </c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141"/>
      <c r="O20" s="141"/>
      <c r="P20" s="141"/>
      <c r="Q20" s="141"/>
      <c r="R20" s="141"/>
    </row>
    <row r="21" spans="1:33" s="108" customFormat="1">
      <c r="A21" s="114"/>
      <c r="B21" s="106"/>
      <c r="C21" s="115"/>
      <c r="D21" s="116" t="s">
        <v>35</v>
      </c>
      <c r="E21" s="116" t="s">
        <v>36</v>
      </c>
      <c r="F21" s="116" t="s">
        <v>37</v>
      </c>
      <c r="G21" s="116" t="s">
        <v>38</v>
      </c>
      <c r="H21" s="116" t="s">
        <v>39</v>
      </c>
      <c r="I21" s="116" t="s">
        <v>40</v>
      </c>
      <c r="J21" s="116" t="s">
        <v>41</v>
      </c>
      <c r="K21" s="116" t="s">
        <v>42</v>
      </c>
      <c r="L21" s="116" t="s">
        <v>43</v>
      </c>
      <c r="M21" s="116" t="s">
        <v>44</v>
      </c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</row>
    <row r="22" spans="1:33">
      <c r="A22" s="70"/>
      <c r="B22" s="111"/>
      <c r="C22" s="67" t="s">
        <v>54</v>
      </c>
      <c r="D22" s="117">
        <f>'Baseline Calculation Sheet'!D23</f>
        <v>-14403384.600000001</v>
      </c>
      <c r="E22" s="117">
        <f>'Baseline Calculation Sheet'!E23</f>
        <v>-2002576.9200000004</v>
      </c>
      <c r="F22" s="117">
        <f>'Baseline Calculation Sheet'!F23</f>
        <v>315861.54000000004</v>
      </c>
      <c r="G22" s="117">
        <f>'Baseline Calculation Sheet'!G23</f>
        <v>2072061.54</v>
      </c>
      <c r="H22" s="117">
        <f>'Baseline Calculation Sheet'!H23</f>
        <v>3828261.54</v>
      </c>
      <c r="I22" s="117">
        <f>'Baseline Calculation Sheet'!I23</f>
        <v>5584461.54</v>
      </c>
      <c r="J22" s="117">
        <f>'Baseline Calculation Sheet'!J23</f>
        <v>8781000</v>
      </c>
      <c r="K22" s="117">
        <f>'Baseline Calculation Sheet'!K23</f>
        <v>13171500</v>
      </c>
      <c r="L22" s="117">
        <f>'Baseline Calculation Sheet'!L23</f>
        <v>17562000</v>
      </c>
      <c r="M22" s="117">
        <f>'Baseline Calculation Sheet'!M23</f>
        <v>21952500</v>
      </c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</row>
    <row r="23" spans="1:33">
      <c r="A23" s="70"/>
      <c r="B23" s="111"/>
      <c r="C23" s="67" t="s">
        <v>52</v>
      </c>
      <c r="D23" s="117">
        <f>'Baseline Calculation Sheet'!D25</f>
        <v>-14403384.600000001</v>
      </c>
      <c r="E23" s="117">
        <f>'Baseline Calculation Sheet'!E25</f>
        <v>-16223909.072727274</v>
      </c>
      <c r="F23" s="117">
        <f>'Baseline Calculation Sheet'!F25</f>
        <v>-15962866.477685953</v>
      </c>
      <c r="G23" s="117">
        <f>'Baseline Calculation Sheet'!G25</f>
        <v>-14406095.974305037</v>
      </c>
      <c r="H23" s="117">
        <f>'Baseline Calculation Sheet'!H25</f>
        <v>-11791341.83182843</v>
      </c>
      <c r="I23" s="117">
        <f>'Baseline Calculation Sheet'!I25</f>
        <v>-8323830.583838664</v>
      </c>
      <c r="J23" s="117">
        <f>'Baseline Calculation Sheet'!J25</f>
        <v>-3367185.0040364461</v>
      </c>
      <c r="K23" s="117">
        <f>'Baseline Calculation Sheet'!K25</f>
        <v>3391877.1502393037</v>
      </c>
      <c r="L23" s="117">
        <f>'Baseline Calculation Sheet'!L25</f>
        <v>11584679.761482637</v>
      </c>
      <c r="M23" s="117">
        <f>'Baseline Calculation Sheet'!M25</f>
        <v>20894682.728804607</v>
      </c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</row>
    <row r="24" spans="1:33">
      <c r="A24" s="70"/>
      <c r="B24" s="106"/>
      <c r="C24" s="67" t="s">
        <v>55</v>
      </c>
      <c r="D24" s="117">
        <f>F2</f>
        <v>-18004230.75</v>
      </c>
      <c r="E24" s="117">
        <f>F3</f>
        <v>-2758841.1500000004</v>
      </c>
      <c r="F24" s="117">
        <f>F4</f>
        <v>-116413.07500000019</v>
      </c>
      <c r="G24" s="117">
        <f>F5</f>
        <v>1567596.9249999998</v>
      </c>
      <c r="H24" s="117">
        <f>F6</f>
        <v>3251606.9249999998</v>
      </c>
      <c r="I24" s="117">
        <f>F7</f>
        <v>4935616.9249999998</v>
      </c>
      <c r="J24" s="117">
        <f>F8</f>
        <v>8420050</v>
      </c>
      <c r="K24" s="117">
        <f>F9</f>
        <v>12630075</v>
      </c>
      <c r="L24" s="117">
        <f>F10</f>
        <v>16840100</v>
      </c>
      <c r="M24" s="117">
        <f>F11</f>
        <v>21050125</v>
      </c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</row>
    <row r="25" spans="1:33">
      <c r="A25" s="70"/>
      <c r="B25" s="106"/>
      <c r="C25" s="67" t="s">
        <v>58</v>
      </c>
      <c r="D25" s="117">
        <f>D24</f>
        <v>-18004230.75</v>
      </c>
      <c r="E25" s="117">
        <f>D25+E24</f>
        <v>-20763071.899999999</v>
      </c>
      <c r="F25" s="117">
        <f t="shared" ref="F25:M25" si="4">E25+F24</f>
        <v>-20879484.974999998</v>
      </c>
      <c r="G25" s="117">
        <f t="shared" si="4"/>
        <v>-19311888.049999997</v>
      </c>
      <c r="H25" s="117">
        <f t="shared" si="4"/>
        <v>-16060281.124999996</v>
      </c>
      <c r="I25" s="117">
        <f t="shared" si="4"/>
        <v>-11124664.199999996</v>
      </c>
      <c r="J25" s="117">
        <f t="shared" si="4"/>
        <v>-2704614.1999999955</v>
      </c>
      <c r="K25" s="117">
        <f t="shared" si="4"/>
        <v>9925460.8000000045</v>
      </c>
      <c r="L25" s="117">
        <f t="shared" si="4"/>
        <v>26765560.800000004</v>
      </c>
      <c r="M25" s="117">
        <f t="shared" si="4"/>
        <v>47815685.800000004</v>
      </c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</row>
    <row r="26" spans="1:33" ht="16.5" thickBot="1">
      <c r="A26" s="12"/>
      <c r="B26" s="112"/>
      <c r="C26" s="71" t="s">
        <v>56</v>
      </c>
      <c r="D26" s="117">
        <f>J2</f>
        <v>-18004230.75</v>
      </c>
      <c r="E26" s="117">
        <f>J3</f>
        <v>-20403223.054347828</v>
      </c>
      <c r="F26" s="117">
        <f>J4</f>
        <v>-20491248.063799623</v>
      </c>
      <c r="G26" s="117">
        <f>J5</f>
        <v>-19460527.639701653</v>
      </c>
      <c r="H26" s="117">
        <f>J6</f>
        <v>-17601410.826940119</v>
      </c>
      <c r="I26" s="117">
        <f>J7</f>
        <v>-15147536.917485636</v>
      </c>
      <c r="J26" s="117">
        <f>J8</f>
        <v>-11507316.943530535</v>
      </c>
      <c r="K26" s="117">
        <f>J9</f>
        <v>-6759203.9340238804</v>
      </c>
      <c r="L26" s="117">
        <f>J10</f>
        <v>-1254145.3722770344</v>
      </c>
      <c r="M26" s="117">
        <f>J11</f>
        <v>4729613.9339695387</v>
      </c>
      <c r="N26" s="139"/>
      <c r="O26" s="139"/>
      <c r="P26" s="139"/>
      <c r="Q26" s="139"/>
      <c r="R26" s="139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</row>
    <row r="27" spans="1:33">
      <c r="C27" s="66"/>
    </row>
    <row r="28" spans="1:33" ht="12.75">
      <c r="A28" s="163" t="s">
        <v>60</v>
      </c>
      <c r="B28" s="164"/>
      <c r="C28" s="164"/>
      <c r="D28" s="113">
        <v>-1000000000</v>
      </c>
      <c r="E28" s="113">
        <v>-3000000000</v>
      </c>
      <c r="F28" s="113">
        <v>-5159000000</v>
      </c>
      <c r="G28" s="113">
        <v>-7424000000</v>
      </c>
      <c r="H28" s="113">
        <v>-8378000000</v>
      </c>
      <c r="I28" s="113">
        <v>-8802000000</v>
      </c>
      <c r="J28" s="113">
        <v>-10180000000</v>
      </c>
      <c r="K28" s="113">
        <v>-11770000000</v>
      </c>
      <c r="L28" s="113">
        <v>-9120000000</v>
      </c>
      <c r="M28" s="113">
        <v>-11240000000</v>
      </c>
      <c r="N28" s="113">
        <v>-7000000000</v>
      </c>
      <c r="O28" s="113">
        <v>-2760000000</v>
      </c>
      <c r="P28" s="113">
        <v>1480000000</v>
      </c>
      <c r="Q28" s="113">
        <v>5720000000</v>
      </c>
      <c r="R28" s="113">
        <v>9960000000</v>
      </c>
      <c r="S28" s="113">
        <v>14200000000</v>
      </c>
      <c r="T28" s="113">
        <v>18440000000</v>
      </c>
      <c r="U28" s="113">
        <v>19500000000</v>
      </c>
      <c r="V28" s="113">
        <v>24800000000</v>
      </c>
      <c r="W28" s="113">
        <v>31690000000</v>
      </c>
      <c r="X28" s="113">
        <v>38050000000</v>
      </c>
      <c r="Y28" s="113">
        <v>43880000000</v>
      </c>
      <c r="Z28" s="113">
        <v>49180000000</v>
      </c>
      <c r="AA28" s="113">
        <v>53950000000</v>
      </c>
      <c r="AB28" s="113">
        <v>58190000000</v>
      </c>
      <c r="AC28" s="113">
        <v>61900000000</v>
      </c>
      <c r="AD28" s="113">
        <v>65080000000</v>
      </c>
      <c r="AE28" s="113">
        <v>67730000000</v>
      </c>
      <c r="AF28" s="113">
        <v>69055000000</v>
      </c>
      <c r="AG28" s="113">
        <v>70115000000</v>
      </c>
    </row>
  </sheetData>
  <mergeCells count="1">
    <mergeCell ref="A28:C28"/>
  </mergeCells>
  <phoneticPr fontId="0" type="noConversion"/>
  <printOptions horizontalCentered="1" verticalCentered="1"/>
  <pageMargins left="0.75" right="0.75" top="1" bottom="1" header="0.5" footer="0.5"/>
  <pageSetup scale="97" orientation="landscape" horizontalDpi="300" verticalDpi="300" r:id="rId1"/>
  <headerFooter alignWithMargins="0">
    <oddHeader>&amp;C&amp;16&amp;A</oddHeader>
    <oddFooter>Page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D5"/>
  <sheetViews>
    <sheetView workbookViewId="0">
      <selection sqref="A1:D5"/>
    </sheetView>
  </sheetViews>
  <sheetFormatPr defaultRowHeight="12.75"/>
  <cols>
    <col min="1" max="1" width="10.6640625" customWidth="1"/>
    <col min="2" max="4" width="15.1640625" style="108" customWidth="1"/>
  </cols>
  <sheetData>
    <row r="1" spans="1:4">
      <c r="B1" s="159" t="s">
        <v>84</v>
      </c>
      <c r="C1" s="159" t="s">
        <v>85</v>
      </c>
      <c r="D1" s="159" t="s">
        <v>86</v>
      </c>
    </row>
    <row r="2" spans="1:4">
      <c r="A2" s="156" t="s">
        <v>87</v>
      </c>
      <c r="B2" s="160">
        <f>'Worse Option Input Sheet'!E24</f>
        <v>4729613.9339695387</v>
      </c>
      <c r="C2" s="160">
        <f>Accumnpv</f>
        <v>20894682.728804607</v>
      </c>
      <c r="D2" s="160">
        <f>'Better Option Input Sheet'!E24</f>
        <v>41144091.584109657</v>
      </c>
    </row>
    <row r="3" spans="1:4">
      <c r="A3" s="156" t="s">
        <v>88</v>
      </c>
      <c r="B3" s="161">
        <f>'Worse Option Input Sheet'!E25</f>
        <v>0.18566940421080383</v>
      </c>
      <c r="C3" s="161">
        <f>'Baseline Input Sheet'!E25</f>
        <v>0.24526239529625765</v>
      </c>
      <c r="D3" s="161">
        <f>'Better Option Input Sheet'!E25</f>
        <v>0.39967722887892271</v>
      </c>
    </row>
    <row r="4" spans="1:4" ht="25.5">
      <c r="A4" s="157" t="s">
        <v>89</v>
      </c>
      <c r="B4" s="162" t="s">
        <v>92</v>
      </c>
      <c r="C4" s="162" t="s">
        <v>90</v>
      </c>
      <c r="D4" s="162" t="s">
        <v>91</v>
      </c>
    </row>
    <row r="5" spans="1:4" ht="25.5">
      <c r="A5" s="158" t="s">
        <v>59</v>
      </c>
      <c r="B5" s="161">
        <f>'Worse Option Input Sheet'!E28</f>
        <v>0.15</v>
      </c>
      <c r="C5" s="161">
        <f>'Baseline Input Sheet'!E28</f>
        <v>0.1</v>
      </c>
      <c r="D5" s="161">
        <f>'Better Option Input Sheet'!E28</f>
        <v>0.1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7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46</vt:i4>
      </vt:variant>
    </vt:vector>
  </HeadingPairs>
  <TitlesOfParts>
    <vt:vector size="56" baseType="lpstr">
      <vt:lpstr>Baseline Input Sheet</vt:lpstr>
      <vt:lpstr>Better Option Input Sheet</vt:lpstr>
      <vt:lpstr>Worse Option Input Sheet</vt:lpstr>
      <vt:lpstr>Baseline Calculation Sheet</vt:lpstr>
      <vt:lpstr>Better Option Calculation Sheet</vt:lpstr>
      <vt:lpstr>Worse Option Calculation S</vt:lpstr>
      <vt:lpstr>Sheet1</vt:lpstr>
      <vt:lpstr>Baseline Cashflow Chart</vt:lpstr>
      <vt:lpstr>Better Cashflow Chart</vt:lpstr>
      <vt:lpstr>Worse Cashflow Chart</vt:lpstr>
      <vt:lpstr>Accumnpv</vt:lpstr>
      <vt:lpstr>Baseline_Concessions</vt:lpstr>
      <vt:lpstr>Baseline_IRR</vt:lpstr>
      <vt:lpstr>Baseline_nonrecur</vt:lpstr>
      <vt:lpstr>Baseline_nonrecur1</vt:lpstr>
      <vt:lpstr>Baseline_nonrecur2</vt:lpstr>
      <vt:lpstr>Baseline_nonrecur3</vt:lpstr>
      <vt:lpstr>Baseline_nonrecur4</vt:lpstr>
      <vt:lpstr>Baseline_nonrecur5</vt:lpstr>
      <vt:lpstr>Baseline_nonrecur6</vt:lpstr>
      <vt:lpstr>Baseline_Nonrecurring</vt:lpstr>
      <vt:lpstr>Baseline_Nonrecurring_Years</vt:lpstr>
      <vt:lpstr>Baseline_NPV</vt:lpstr>
      <vt:lpstr>Baseline_Price</vt:lpstr>
      <vt:lpstr>Baseline_Recurring</vt:lpstr>
      <vt:lpstr>Baseline_Yrly_Delivery</vt:lpstr>
      <vt:lpstr>Baseline_Yrly_Production</vt:lpstr>
      <vt:lpstr>'Worse Option Calculation S'!Option_IRR</vt:lpstr>
      <vt:lpstr>Option_IRR</vt:lpstr>
      <vt:lpstr>'Worse Option Calculation S'!Option_NPV</vt:lpstr>
      <vt:lpstr>Option_NPV</vt:lpstr>
      <vt:lpstr>'Worse Option Input Sheet'!Option_Price</vt:lpstr>
      <vt:lpstr>Option_Price</vt:lpstr>
      <vt:lpstr>'Worse Option Input Sheet'!Options_Concessions</vt:lpstr>
      <vt:lpstr>Options_Concessions</vt:lpstr>
      <vt:lpstr>Options_Price</vt:lpstr>
      <vt:lpstr>'Worse Option Input Sheet'!Options_Recurring</vt:lpstr>
      <vt:lpstr>Options_Recurring</vt:lpstr>
      <vt:lpstr>'Baseline Calculation Sheet'!Print_Area</vt:lpstr>
      <vt:lpstr>'Better Option Calculation Sheet'!Print_Area</vt:lpstr>
      <vt:lpstr>'Worse Option Calculation S'!Print_Area</vt:lpstr>
      <vt:lpstr>prod1</vt:lpstr>
      <vt:lpstr>prod10</vt:lpstr>
      <vt:lpstr>prod2</vt:lpstr>
      <vt:lpstr>prod3</vt:lpstr>
      <vt:lpstr>prod4</vt:lpstr>
      <vt:lpstr>prod5</vt:lpstr>
      <vt:lpstr>prod6</vt:lpstr>
      <vt:lpstr>prod7</vt:lpstr>
      <vt:lpstr>prod8</vt:lpstr>
      <vt:lpstr>prod9</vt:lpstr>
      <vt:lpstr>Worse_Option_IRR</vt:lpstr>
      <vt:lpstr>Worse_Options_Price</vt:lpstr>
      <vt:lpstr>'Better Option Input Sheet'!Yrly_Production</vt:lpstr>
      <vt:lpstr>'Worse Option Input Sheet'!Yrly_Production</vt:lpstr>
      <vt:lpstr>Yrly_Production</vt:lpstr>
    </vt:vector>
  </TitlesOfParts>
  <Company>The Boeing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Boeing Company</dc:creator>
  <cp:lastModifiedBy>Cesar</cp:lastModifiedBy>
  <cp:lastPrinted>1997-11-13T13:56:24Z</cp:lastPrinted>
  <dcterms:created xsi:type="dcterms:W3CDTF">1997-05-20T16:09:58Z</dcterms:created>
  <dcterms:modified xsi:type="dcterms:W3CDTF">2009-11-04T16:41:07Z</dcterms:modified>
</cp:coreProperties>
</file>